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8740" windowHeight="1257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3" i="1"/>
  <c r="AE3" i="1" l="1"/>
  <c r="T3" i="1"/>
  <c r="L24" i="1"/>
  <c r="AE24" i="1" s="1"/>
  <c r="L25" i="1"/>
  <c r="AE25" i="1" s="1"/>
  <c r="L26" i="1"/>
  <c r="AE26" i="1" s="1"/>
  <c r="L27" i="1"/>
  <c r="T27" i="1" s="1"/>
  <c r="L28" i="1"/>
  <c r="AE28" i="1" s="1"/>
  <c r="L29" i="1"/>
  <c r="AE29" i="1" s="1"/>
  <c r="L30" i="1"/>
  <c r="AE30" i="1" s="1"/>
  <c r="L31" i="1"/>
  <c r="T31" i="1" s="1"/>
  <c r="L32" i="1"/>
  <c r="AE32" i="1" s="1"/>
  <c r="L33" i="1"/>
  <c r="AE33" i="1" s="1"/>
  <c r="L34" i="1"/>
  <c r="AE34" i="1" s="1"/>
  <c r="L35" i="1"/>
  <c r="T35" i="1" s="1"/>
  <c r="L36" i="1"/>
  <c r="T36" i="1" s="1"/>
  <c r="L37" i="1"/>
  <c r="AE37" i="1" s="1"/>
  <c r="L38" i="1"/>
  <c r="AE38" i="1" s="1"/>
  <c r="L39" i="1"/>
  <c r="T39" i="1" s="1"/>
  <c r="L40" i="1"/>
  <c r="AE40" i="1" s="1"/>
  <c r="L41" i="1"/>
  <c r="AE41" i="1" s="1"/>
  <c r="L42" i="1"/>
  <c r="AE42" i="1" s="1"/>
  <c r="L43" i="1"/>
  <c r="T43" i="1" s="1"/>
  <c r="L44" i="1"/>
  <c r="AE44" i="1" s="1"/>
  <c r="L45" i="1"/>
  <c r="AE45" i="1" s="1"/>
  <c r="L46" i="1"/>
  <c r="AE46" i="1" s="1"/>
  <c r="L47" i="1"/>
  <c r="T47" i="1" s="1"/>
  <c r="L48" i="1"/>
  <c r="AE48" i="1" s="1"/>
  <c r="L49" i="1"/>
  <c r="AE49" i="1" s="1"/>
  <c r="L50" i="1"/>
  <c r="AE50" i="1" s="1"/>
  <c r="L51" i="1"/>
  <c r="T51" i="1" s="1"/>
  <c r="L52" i="1"/>
  <c r="T52" i="1" s="1"/>
  <c r="L53" i="1"/>
  <c r="AE53" i="1" s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4" i="1"/>
  <c r="T33" i="1" l="1"/>
  <c r="T49" i="1"/>
  <c r="T29" i="1"/>
  <c r="AE43" i="1"/>
  <c r="T45" i="1"/>
  <c r="AE31" i="1"/>
  <c r="T34" i="1"/>
  <c r="T40" i="1"/>
  <c r="AE52" i="1"/>
  <c r="T48" i="1"/>
  <c r="T28" i="1"/>
  <c r="AE51" i="1"/>
  <c r="AE39" i="1"/>
  <c r="T24" i="1"/>
  <c r="AE47" i="1"/>
  <c r="AE36" i="1"/>
  <c r="AE27" i="1"/>
  <c r="T50" i="1"/>
  <c r="T44" i="1"/>
  <c r="T32" i="1"/>
  <c r="AE35" i="1"/>
  <c r="T38" i="1"/>
  <c r="T53" i="1"/>
  <c r="T42" i="1"/>
  <c r="T37" i="1"/>
  <c r="T26" i="1"/>
  <c r="T46" i="1"/>
  <c r="T41" i="1"/>
  <c r="T30" i="1"/>
  <c r="T25" i="1"/>
  <c r="X5" i="1"/>
  <c r="X6" i="1"/>
  <c r="X7" i="1"/>
  <c r="X9" i="1"/>
  <c r="X10" i="1"/>
  <c r="X11" i="1"/>
  <c r="X12" i="1"/>
  <c r="X14" i="1"/>
  <c r="X15" i="1"/>
  <c r="X16" i="1"/>
  <c r="X17" i="1"/>
  <c r="X18" i="1"/>
  <c r="X19" i="1"/>
  <c r="X20" i="1"/>
  <c r="X21" i="1"/>
  <c r="X22" i="1"/>
  <c r="X24" i="1"/>
  <c r="X25" i="1"/>
  <c r="X26" i="1"/>
  <c r="X27" i="1"/>
  <c r="X28" i="1"/>
  <c r="X29" i="1"/>
  <c r="X30" i="1"/>
  <c r="X31" i="1"/>
  <c r="X32" i="1"/>
  <c r="X34" i="1"/>
  <c r="X35" i="1"/>
  <c r="X36" i="1"/>
  <c r="X37" i="1"/>
  <c r="X38" i="1"/>
  <c r="X39" i="1"/>
  <c r="X40" i="1"/>
  <c r="X41" i="1"/>
  <c r="X42" i="1"/>
  <c r="X44" i="1"/>
  <c r="X45" i="1"/>
  <c r="X46" i="1"/>
  <c r="X47" i="1"/>
  <c r="X48" i="1"/>
  <c r="X49" i="1"/>
  <c r="X50" i="1"/>
  <c r="X51" i="1"/>
  <c r="X52" i="1"/>
  <c r="X53" i="1"/>
  <c r="X3" i="1"/>
  <c r="X4" i="1"/>
  <c r="R3" i="1"/>
  <c r="AH4" i="1"/>
  <c r="AH5" i="1"/>
  <c r="AH6" i="1"/>
  <c r="AH7" i="1"/>
  <c r="AH9" i="1"/>
  <c r="AH10" i="1"/>
  <c r="AH11" i="1"/>
  <c r="AH12" i="1"/>
  <c r="AH14" i="1"/>
  <c r="AH15" i="1"/>
  <c r="AH16" i="1"/>
  <c r="AH17" i="1"/>
  <c r="AH18" i="1"/>
  <c r="AH19" i="1"/>
  <c r="AH20" i="1"/>
  <c r="AH21" i="1"/>
  <c r="AH22" i="1"/>
  <c r="AH24" i="1"/>
  <c r="AH25" i="1"/>
  <c r="AH26" i="1"/>
  <c r="AH27" i="1"/>
  <c r="AH28" i="1"/>
  <c r="AH29" i="1"/>
  <c r="AH30" i="1"/>
  <c r="AH31" i="1"/>
  <c r="AH32" i="1"/>
  <c r="AH34" i="1"/>
  <c r="AH35" i="1"/>
  <c r="AH36" i="1"/>
  <c r="AH37" i="1"/>
  <c r="AH38" i="1"/>
  <c r="AH39" i="1"/>
  <c r="AH40" i="1"/>
  <c r="AH41" i="1"/>
  <c r="AH42" i="1"/>
  <c r="AH44" i="1"/>
  <c r="AH45" i="1"/>
  <c r="AH46" i="1"/>
  <c r="AH47" i="1"/>
  <c r="AH48" i="1"/>
  <c r="AH49" i="1"/>
  <c r="AH50" i="1"/>
  <c r="AH51" i="1"/>
  <c r="AH52" i="1"/>
  <c r="AH53" i="1"/>
  <c r="AH3" i="1"/>
  <c r="AI24" i="1"/>
  <c r="AI25" i="1"/>
  <c r="AI26" i="1"/>
  <c r="AI27" i="1"/>
  <c r="AI28" i="1"/>
  <c r="AI29" i="1"/>
  <c r="AI30" i="1"/>
  <c r="AI31" i="1"/>
  <c r="AI32" i="1"/>
  <c r="AI34" i="1"/>
  <c r="AI35" i="1"/>
  <c r="AI36" i="1"/>
  <c r="AI37" i="1"/>
  <c r="AI38" i="1"/>
  <c r="AI39" i="1"/>
  <c r="AI40" i="1"/>
  <c r="AI41" i="1"/>
  <c r="AI42" i="1"/>
  <c r="AI44" i="1"/>
  <c r="AI45" i="1"/>
  <c r="AI46" i="1"/>
  <c r="AI47" i="1"/>
  <c r="AI48" i="1"/>
  <c r="AI49" i="1"/>
  <c r="AI50" i="1"/>
  <c r="AI51" i="1"/>
  <c r="AI52" i="1"/>
  <c r="AI53" i="1"/>
  <c r="AI3" i="1"/>
  <c r="AI4" i="1"/>
  <c r="AI5" i="1"/>
  <c r="AI6" i="1"/>
  <c r="AI7" i="1"/>
  <c r="AI9" i="1"/>
  <c r="AI10" i="1"/>
  <c r="AI11" i="1"/>
  <c r="AI12" i="1"/>
  <c r="AI14" i="1"/>
  <c r="AI15" i="1"/>
  <c r="AI16" i="1"/>
  <c r="AI17" i="1"/>
  <c r="AI18" i="1"/>
  <c r="AI19" i="1"/>
  <c r="AI20" i="1"/>
  <c r="AI21" i="1"/>
  <c r="AI22" i="1"/>
  <c r="F44" i="1"/>
  <c r="F45" i="1"/>
  <c r="F46" i="1"/>
  <c r="F47" i="1"/>
  <c r="F48" i="1"/>
  <c r="F49" i="1"/>
  <c r="F50" i="1"/>
  <c r="F51" i="1"/>
  <c r="F52" i="1"/>
  <c r="F53" i="1"/>
  <c r="AD3" i="1"/>
  <c r="AF3" i="1" s="1"/>
  <c r="AC3" i="1"/>
  <c r="S3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4" i="1"/>
  <c r="AD35" i="1"/>
  <c r="S36" i="1"/>
  <c r="S37" i="1"/>
  <c r="AD38" i="1"/>
  <c r="S39" i="1"/>
  <c r="S40" i="1"/>
  <c r="AD41" i="1"/>
  <c r="AD42" i="1"/>
  <c r="S43" i="1"/>
  <c r="S44" i="1"/>
  <c r="S45" i="1"/>
  <c r="AD46" i="1"/>
  <c r="AD47" i="1"/>
  <c r="S48" i="1"/>
  <c r="AD49" i="1"/>
  <c r="AD50" i="1"/>
  <c r="AD51" i="1"/>
  <c r="S52" i="1"/>
  <c r="S53" i="1"/>
  <c r="AD3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4" i="1"/>
  <c r="W24" i="1"/>
  <c r="W25" i="1"/>
  <c r="W26" i="1"/>
  <c r="W27" i="1"/>
  <c r="W29" i="1"/>
  <c r="W30" i="1"/>
  <c r="W31" i="1"/>
  <c r="W32" i="1"/>
  <c r="W34" i="1"/>
  <c r="W35" i="1"/>
  <c r="W36" i="1"/>
  <c r="W37" i="1"/>
  <c r="W38" i="1"/>
  <c r="W39" i="1"/>
  <c r="W40" i="1"/>
  <c r="W41" i="1"/>
  <c r="W42" i="1"/>
  <c r="W44" i="1"/>
  <c r="W45" i="1"/>
  <c r="W46" i="1"/>
  <c r="W47" i="1"/>
  <c r="W48" i="1"/>
  <c r="W49" i="1"/>
  <c r="W50" i="1"/>
  <c r="W51" i="1"/>
  <c r="W52" i="1"/>
  <c r="W53" i="1"/>
  <c r="W3" i="1"/>
  <c r="W4" i="1"/>
  <c r="W5" i="1"/>
  <c r="W6" i="1"/>
  <c r="W7" i="1"/>
  <c r="W9" i="1"/>
  <c r="W10" i="1"/>
  <c r="W11" i="1"/>
  <c r="W12" i="1"/>
  <c r="W14" i="1"/>
  <c r="W15" i="1"/>
  <c r="W16" i="1"/>
  <c r="W17" i="1"/>
  <c r="W19" i="1"/>
  <c r="W20" i="1"/>
  <c r="W21" i="1"/>
  <c r="W22" i="1"/>
  <c r="H15" i="1"/>
  <c r="Q15" i="1" s="1"/>
  <c r="H16" i="1"/>
  <c r="Q16" i="1" s="1"/>
  <c r="H17" i="1"/>
  <c r="Q17" i="1" s="1"/>
  <c r="H18" i="1"/>
  <c r="Q18" i="1" s="1"/>
  <c r="H19" i="1"/>
  <c r="Q19" i="1" s="1"/>
  <c r="H20" i="1"/>
  <c r="Q20" i="1" s="1"/>
  <c r="H21" i="1"/>
  <c r="Q21" i="1" s="1"/>
  <c r="H22" i="1"/>
  <c r="Q22" i="1" s="1"/>
  <c r="H23" i="1"/>
  <c r="Q23" i="1" s="1"/>
  <c r="H24" i="1"/>
  <c r="Q24" i="1" s="1"/>
  <c r="H25" i="1"/>
  <c r="Q25" i="1" s="1"/>
  <c r="H26" i="1"/>
  <c r="Q26" i="1" s="1"/>
  <c r="H27" i="1"/>
  <c r="Q27" i="1" s="1"/>
  <c r="H28" i="1"/>
  <c r="Q28" i="1" s="1"/>
  <c r="H29" i="1"/>
  <c r="Q29" i="1" s="1"/>
  <c r="H30" i="1"/>
  <c r="Q30" i="1" s="1"/>
  <c r="H31" i="1"/>
  <c r="Q31" i="1" s="1"/>
  <c r="H32" i="1"/>
  <c r="Q32" i="1" s="1"/>
  <c r="H33" i="1"/>
  <c r="Q33" i="1" s="1"/>
  <c r="H34" i="1"/>
  <c r="Q34" i="1" s="1"/>
  <c r="H35" i="1"/>
  <c r="Q35" i="1" s="1"/>
  <c r="H36" i="1"/>
  <c r="Q36" i="1" s="1"/>
  <c r="H37" i="1"/>
  <c r="Q37" i="1" s="1"/>
  <c r="H38" i="1"/>
  <c r="Q38" i="1" s="1"/>
  <c r="H39" i="1"/>
  <c r="Q39" i="1" s="1"/>
  <c r="H40" i="1"/>
  <c r="Q40" i="1" s="1"/>
  <c r="H41" i="1"/>
  <c r="Q41" i="1" s="1"/>
  <c r="H42" i="1"/>
  <c r="Q42" i="1" s="1"/>
  <c r="H43" i="1"/>
  <c r="Q43" i="1" s="1"/>
  <c r="H44" i="1"/>
  <c r="Q44" i="1" s="1"/>
  <c r="H45" i="1"/>
  <c r="Q45" i="1" s="1"/>
  <c r="H46" i="1"/>
  <c r="Q46" i="1" s="1"/>
  <c r="H47" i="1"/>
  <c r="Q47" i="1" s="1"/>
  <c r="H48" i="1"/>
  <c r="Q48" i="1" s="1"/>
  <c r="H49" i="1"/>
  <c r="Q49" i="1" s="1"/>
  <c r="H50" i="1"/>
  <c r="Q50" i="1" s="1"/>
  <c r="H51" i="1"/>
  <c r="Q51" i="1" s="1"/>
  <c r="H52" i="1"/>
  <c r="Q52" i="1" s="1"/>
  <c r="H53" i="1"/>
  <c r="Q53" i="1" s="1"/>
  <c r="H4" i="1"/>
  <c r="Q4" i="1" s="1"/>
  <c r="H5" i="1"/>
  <c r="Q5" i="1" s="1"/>
  <c r="H6" i="1"/>
  <c r="Q6" i="1" s="1"/>
  <c r="H7" i="1"/>
  <c r="Q7" i="1" s="1"/>
  <c r="H8" i="1"/>
  <c r="Q8" i="1" s="1"/>
  <c r="H9" i="1"/>
  <c r="Q9" i="1" s="1"/>
  <c r="H10" i="1"/>
  <c r="Q10" i="1" s="1"/>
  <c r="H11" i="1"/>
  <c r="Q11" i="1" s="1"/>
  <c r="H12" i="1"/>
  <c r="Q12" i="1" s="1"/>
  <c r="H13" i="1"/>
  <c r="Q13" i="1" s="1"/>
  <c r="H3" i="1"/>
  <c r="Q3" i="1" s="1"/>
  <c r="H14" i="1"/>
  <c r="Q14" i="1" s="1"/>
  <c r="F36" i="1"/>
  <c r="F40" i="1"/>
  <c r="E15" i="1"/>
  <c r="M15" i="1" s="1"/>
  <c r="R15" i="1" s="1"/>
  <c r="E16" i="1"/>
  <c r="M16" i="1" s="1"/>
  <c r="R16" i="1" s="1"/>
  <c r="E17" i="1"/>
  <c r="M17" i="1" s="1"/>
  <c r="R17" i="1" s="1"/>
  <c r="E18" i="1"/>
  <c r="M18" i="1" s="1"/>
  <c r="R18" i="1" s="1"/>
  <c r="E19" i="1"/>
  <c r="M19" i="1" s="1"/>
  <c r="R19" i="1" s="1"/>
  <c r="E20" i="1"/>
  <c r="M20" i="1" s="1"/>
  <c r="R20" i="1" s="1"/>
  <c r="E21" i="1"/>
  <c r="M21" i="1" s="1"/>
  <c r="R21" i="1" s="1"/>
  <c r="E22" i="1"/>
  <c r="M22" i="1" s="1"/>
  <c r="R22" i="1" s="1"/>
  <c r="E23" i="1"/>
  <c r="M23" i="1" s="1"/>
  <c r="R23" i="1" s="1"/>
  <c r="E24" i="1"/>
  <c r="M24" i="1" s="1"/>
  <c r="R24" i="1" s="1"/>
  <c r="E25" i="1"/>
  <c r="M25" i="1" s="1"/>
  <c r="R25" i="1" s="1"/>
  <c r="E26" i="1"/>
  <c r="M26" i="1" s="1"/>
  <c r="R26" i="1" s="1"/>
  <c r="E27" i="1"/>
  <c r="M27" i="1" s="1"/>
  <c r="R27" i="1" s="1"/>
  <c r="E28" i="1"/>
  <c r="M28" i="1" s="1"/>
  <c r="AC28" i="1" s="1"/>
  <c r="E29" i="1"/>
  <c r="M29" i="1" s="1"/>
  <c r="R29" i="1" s="1"/>
  <c r="E30" i="1"/>
  <c r="M30" i="1" s="1"/>
  <c r="R30" i="1" s="1"/>
  <c r="E31" i="1"/>
  <c r="M31" i="1" s="1"/>
  <c r="R31" i="1" s="1"/>
  <c r="E32" i="1"/>
  <c r="M32" i="1" s="1"/>
  <c r="R32" i="1" s="1"/>
  <c r="E33" i="1"/>
  <c r="M33" i="1" s="1"/>
  <c r="AC33" i="1" s="1"/>
  <c r="E34" i="1"/>
  <c r="M34" i="1" s="1"/>
  <c r="R34" i="1" s="1"/>
  <c r="E35" i="1"/>
  <c r="M35" i="1" s="1"/>
  <c r="R35" i="1" s="1"/>
  <c r="E36" i="1"/>
  <c r="M36" i="1" s="1"/>
  <c r="R36" i="1" s="1"/>
  <c r="E37" i="1"/>
  <c r="M37" i="1" s="1"/>
  <c r="R37" i="1" s="1"/>
  <c r="E38" i="1"/>
  <c r="M38" i="1" s="1"/>
  <c r="R38" i="1" s="1"/>
  <c r="E39" i="1"/>
  <c r="M39" i="1" s="1"/>
  <c r="R39" i="1" s="1"/>
  <c r="E40" i="1"/>
  <c r="M40" i="1" s="1"/>
  <c r="R40" i="1" s="1"/>
  <c r="E41" i="1"/>
  <c r="M41" i="1" s="1"/>
  <c r="R41" i="1" s="1"/>
  <c r="E42" i="1"/>
  <c r="M42" i="1" s="1"/>
  <c r="R42" i="1" s="1"/>
  <c r="E43" i="1"/>
  <c r="M43" i="1" s="1"/>
  <c r="AC43" i="1" s="1"/>
  <c r="E44" i="1"/>
  <c r="M44" i="1" s="1"/>
  <c r="R44" i="1" s="1"/>
  <c r="E45" i="1"/>
  <c r="M45" i="1" s="1"/>
  <c r="R45" i="1" s="1"/>
  <c r="E46" i="1"/>
  <c r="M46" i="1" s="1"/>
  <c r="R46" i="1" s="1"/>
  <c r="E47" i="1"/>
  <c r="M47" i="1" s="1"/>
  <c r="R47" i="1" s="1"/>
  <c r="E48" i="1"/>
  <c r="M48" i="1" s="1"/>
  <c r="R48" i="1" s="1"/>
  <c r="E49" i="1"/>
  <c r="M49" i="1" s="1"/>
  <c r="R49" i="1" s="1"/>
  <c r="E50" i="1"/>
  <c r="M50" i="1" s="1"/>
  <c r="R50" i="1" s="1"/>
  <c r="E51" i="1"/>
  <c r="M51" i="1" s="1"/>
  <c r="R51" i="1" s="1"/>
  <c r="E52" i="1"/>
  <c r="M52" i="1" s="1"/>
  <c r="R52" i="1" s="1"/>
  <c r="E53" i="1"/>
  <c r="M53" i="1" s="1"/>
  <c r="R53" i="1" s="1"/>
  <c r="E3" i="1"/>
  <c r="E4" i="1"/>
  <c r="M4" i="1" s="1"/>
  <c r="E5" i="1"/>
  <c r="M5" i="1" s="1"/>
  <c r="R5" i="1" s="1"/>
  <c r="E6" i="1"/>
  <c r="M6" i="1" s="1"/>
  <c r="R6" i="1" s="1"/>
  <c r="E7" i="1"/>
  <c r="M7" i="1" s="1"/>
  <c r="R7" i="1" s="1"/>
  <c r="E8" i="1"/>
  <c r="M8" i="1" s="1"/>
  <c r="R8" i="1" s="1"/>
  <c r="E9" i="1"/>
  <c r="M9" i="1" s="1"/>
  <c r="R9" i="1" s="1"/>
  <c r="E10" i="1"/>
  <c r="M10" i="1" s="1"/>
  <c r="R10" i="1" s="1"/>
  <c r="E11" i="1"/>
  <c r="M11" i="1" s="1"/>
  <c r="R11" i="1" s="1"/>
  <c r="E12" i="1"/>
  <c r="M12" i="1" s="1"/>
  <c r="R12" i="1" s="1"/>
  <c r="E13" i="1"/>
  <c r="M13" i="1" s="1"/>
  <c r="R13" i="1" s="1"/>
  <c r="E14" i="1"/>
  <c r="M14" i="1" s="1"/>
  <c r="R14" i="1" s="1"/>
  <c r="N34" i="1"/>
  <c r="N35" i="1"/>
  <c r="N36" i="1"/>
  <c r="N37" i="1"/>
  <c r="N38" i="1"/>
  <c r="N39" i="1"/>
  <c r="N40" i="1"/>
  <c r="N41" i="1"/>
  <c r="N42" i="1"/>
  <c r="N44" i="1"/>
  <c r="N45" i="1"/>
  <c r="N46" i="1"/>
  <c r="N47" i="1"/>
  <c r="N48" i="1"/>
  <c r="N49" i="1"/>
  <c r="N50" i="1"/>
  <c r="N51" i="1"/>
  <c r="N52" i="1"/>
  <c r="N53" i="1"/>
  <c r="N3" i="1"/>
  <c r="N4" i="1"/>
  <c r="N5" i="1"/>
  <c r="N6" i="1"/>
  <c r="N7" i="1"/>
  <c r="N9" i="1"/>
  <c r="N10" i="1"/>
  <c r="N11" i="1"/>
  <c r="N12" i="1"/>
  <c r="N14" i="1"/>
  <c r="N15" i="1"/>
  <c r="N16" i="1"/>
  <c r="N17" i="1"/>
  <c r="N18" i="1"/>
  <c r="N19" i="1"/>
  <c r="N20" i="1"/>
  <c r="N21" i="1"/>
  <c r="N22" i="1"/>
  <c r="N24" i="1"/>
  <c r="N25" i="1"/>
  <c r="N26" i="1"/>
  <c r="N27" i="1"/>
  <c r="N29" i="1"/>
  <c r="N30" i="1"/>
  <c r="N31" i="1"/>
  <c r="N32" i="1"/>
  <c r="U3" i="1" l="1"/>
  <c r="V3" i="1" s="1"/>
  <c r="Y3" i="1" s="1"/>
  <c r="R4" i="1"/>
  <c r="F27" i="1"/>
  <c r="F43" i="1"/>
  <c r="F35" i="1"/>
  <c r="F42" i="1"/>
  <c r="F38" i="1"/>
  <c r="F34" i="1"/>
  <c r="F39" i="1"/>
  <c r="F31" i="1"/>
  <c r="F41" i="1"/>
  <c r="F37" i="1"/>
  <c r="F26" i="1"/>
  <c r="F25" i="1"/>
  <c r="F30" i="1"/>
  <c r="F33" i="1"/>
  <c r="F29" i="1"/>
  <c r="F32" i="1"/>
  <c r="F28" i="1"/>
  <c r="F24" i="1"/>
  <c r="N8" i="1"/>
  <c r="AI8" i="1" s="1"/>
  <c r="R33" i="1"/>
  <c r="R28" i="1"/>
  <c r="R43" i="1"/>
  <c r="AG3" i="1"/>
  <c r="F15" i="1"/>
  <c r="F18" i="1"/>
  <c r="F22" i="1"/>
  <c r="F20" i="1"/>
  <c r="F9" i="1"/>
  <c r="F16" i="1"/>
  <c r="F21" i="1"/>
  <c r="F13" i="1"/>
  <c r="F23" i="1"/>
  <c r="F19" i="1"/>
  <c r="F14" i="1"/>
  <c r="F17" i="1"/>
  <c r="F12" i="1"/>
  <c r="F11" i="1"/>
  <c r="F10" i="1"/>
  <c r="F5" i="1"/>
  <c r="F8" i="1"/>
  <c r="F4" i="1"/>
  <c r="N13" i="1"/>
  <c r="F7" i="1"/>
  <c r="F6" i="1"/>
  <c r="S49" i="1"/>
  <c r="AD45" i="1"/>
  <c r="S41" i="1"/>
  <c r="AD37" i="1"/>
  <c r="AD53" i="1"/>
  <c r="AB3" i="1"/>
  <c r="AB50" i="1"/>
  <c r="AB46" i="1"/>
  <c r="AB42" i="1"/>
  <c r="AB38" i="1"/>
  <c r="AB34" i="1"/>
  <c r="AB30" i="1"/>
  <c r="AB26" i="1"/>
  <c r="AB22" i="1"/>
  <c r="AB18" i="1"/>
  <c r="AB14" i="1"/>
  <c r="AB10" i="1"/>
  <c r="AB6" i="1"/>
  <c r="S47" i="1"/>
  <c r="S42" i="1"/>
  <c r="AC50" i="1"/>
  <c r="AC45" i="1"/>
  <c r="AC40" i="1"/>
  <c r="AC34" i="1"/>
  <c r="AC29" i="1"/>
  <c r="AC24" i="1"/>
  <c r="AC18" i="1"/>
  <c r="AC13" i="1"/>
  <c r="AC8" i="1"/>
  <c r="AD44" i="1"/>
  <c r="AD39" i="1"/>
  <c r="AC47" i="1"/>
  <c r="AC39" i="1"/>
  <c r="AC31" i="1"/>
  <c r="AC23" i="1"/>
  <c r="AC15" i="1"/>
  <c r="AB53" i="1"/>
  <c r="AB49" i="1"/>
  <c r="AB45" i="1"/>
  <c r="AB41" i="1"/>
  <c r="AB37" i="1"/>
  <c r="AB33" i="1"/>
  <c r="AB29" i="1"/>
  <c r="AB25" i="1"/>
  <c r="AB21" i="1"/>
  <c r="AB17" i="1"/>
  <c r="AB13" i="1"/>
  <c r="AB9" i="1"/>
  <c r="AB5" i="1"/>
  <c r="S51" i="1"/>
  <c r="S46" i="1"/>
  <c r="S35" i="1"/>
  <c r="AC49" i="1"/>
  <c r="AC44" i="1"/>
  <c r="AC38" i="1"/>
  <c r="AC22" i="1"/>
  <c r="AC17" i="1"/>
  <c r="AC12" i="1"/>
  <c r="AC6" i="1"/>
  <c r="AD48" i="1"/>
  <c r="AD43" i="1"/>
  <c r="AC51" i="1"/>
  <c r="AC35" i="1"/>
  <c r="AC27" i="1"/>
  <c r="AC19" i="1"/>
  <c r="AC11" i="1"/>
  <c r="AC7" i="1"/>
  <c r="AB52" i="1"/>
  <c r="AB48" i="1"/>
  <c r="AB44" i="1"/>
  <c r="AB40" i="1"/>
  <c r="AB36" i="1"/>
  <c r="AB32" i="1"/>
  <c r="AB28" i="1"/>
  <c r="AB24" i="1"/>
  <c r="AB20" i="1"/>
  <c r="AB16" i="1"/>
  <c r="AB12" i="1"/>
  <c r="AB8" i="1"/>
  <c r="AB4" i="1"/>
  <c r="S50" i="1"/>
  <c r="S34" i="1"/>
  <c r="AC53" i="1"/>
  <c r="AC48" i="1"/>
  <c r="AC42" i="1"/>
  <c r="AC37" i="1"/>
  <c r="AC32" i="1"/>
  <c r="AC26" i="1"/>
  <c r="AC21" i="1"/>
  <c r="AC16" i="1"/>
  <c r="AC10" i="1"/>
  <c r="AC5" i="1"/>
  <c r="AD52" i="1"/>
  <c r="AD36" i="1"/>
  <c r="AB51" i="1"/>
  <c r="AB47" i="1"/>
  <c r="AB43" i="1"/>
  <c r="AB39" i="1"/>
  <c r="AB35" i="1"/>
  <c r="AB31" i="1"/>
  <c r="AB27" i="1"/>
  <c r="AB23" i="1"/>
  <c r="AB19" i="1"/>
  <c r="AB15" i="1"/>
  <c r="AB11" i="1"/>
  <c r="AB7" i="1"/>
  <c r="S38" i="1"/>
  <c r="AC52" i="1"/>
  <c r="AC46" i="1"/>
  <c r="AC41" i="1"/>
  <c r="AC36" i="1"/>
  <c r="AC30" i="1"/>
  <c r="AC25" i="1"/>
  <c r="AC20" i="1"/>
  <c r="AC14" i="1"/>
  <c r="AC9" i="1"/>
  <c r="AC4" i="1"/>
  <c r="AD40" i="1"/>
  <c r="N28" i="1"/>
  <c r="N43" i="1"/>
  <c r="N23" i="1"/>
  <c r="X23" i="1" s="1"/>
  <c r="N33" i="1"/>
  <c r="J3" i="1"/>
  <c r="I4" i="1" s="1"/>
  <c r="X43" i="1" l="1"/>
  <c r="AI43" i="1"/>
  <c r="X33" i="1"/>
  <c r="AI33" i="1"/>
  <c r="AI13" i="1"/>
  <c r="X13" i="1"/>
  <c r="X8" i="1"/>
  <c r="AJ3" i="1"/>
  <c r="AL3" i="1" s="1"/>
  <c r="AI23" i="1"/>
  <c r="J4" i="1"/>
  <c r="L4" i="1" s="1"/>
  <c r="T4" i="1" l="1"/>
  <c r="U4" i="1" s="1"/>
  <c r="V4" i="1" s="1"/>
  <c r="AE4" i="1"/>
  <c r="I5" i="1"/>
  <c r="J5" i="1"/>
  <c r="L5" i="1" s="1"/>
  <c r="AE5" i="1" l="1"/>
  <c r="T5" i="1"/>
  <c r="U5" i="1" s="1"/>
  <c r="V5" i="1" s="1"/>
  <c r="Y5" i="1" s="1"/>
  <c r="AD5" i="1"/>
  <c r="AF5" i="1" s="1"/>
  <c r="AG5" i="1" s="1"/>
  <c r="AJ5" i="1" s="1"/>
  <c r="S5" i="1"/>
  <c r="S4" i="1"/>
  <c r="Y4" i="1" s="1"/>
  <c r="AD4" i="1"/>
  <c r="AF4" i="1" s="1"/>
  <c r="I6" i="1"/>
  <c r="AL5" i="1" l="1"/>
  <c r="AG4" i="1"/>
  <c r="AJ4" i="1" s="1"/>
  <c r="AL4" i="1" s="1"/>
  <c r="J6" i="1"/>
  <c r="L6" i="1" s="1"/>
  <c r="AE6" i="1" l="1"/>
  <c r="T6" i="1"/>
  <c r="U6" i="1" s="1"/>
  <c r="V6" i="1" s="1"/>
  <c r="AD6" i="1"/>
  <c r="S6" i="1"/>
  <c r="I7" i="1"/>
  <c r="Y6" i="1" l="1"/>
  <c r="AF6" i="1"/>
  <c r="AG6" i="1" s="1"/>
  <c r="AJ6" i="1" s="1"/>
  <c r="AL6" i="1" s="1"/>
  <c r="J7" i="1"/>
  <c r="L7" i="1" s="1"/>
  <c r="T7" i="1" l="1"/>
  <c r="U7" i="1" s="1"/>
  <c r="V7" i="1" s="1"/>
  <c r="AE7" i="1"/>
  <c r="I8" i="1"/>
  <c r="J8" i="1" s="1"/>
  <c r="L8" i="1" s="1"/>
  <c r="AE8" i="1" l="1"/>
  <c r="T8" i="1"/>
  <c r="U8" i="1"/>
  <c r="V8" i="1" s="1"/>
  <c r="S8" i="1"/>
  <c r="AD8" i="1"/>
  <c r="AF8" i="1" s="1"/>
  <c r="S7" i="1"/>
  <c r="Y7" i="1" s="1"/>
  <c r="AD7" i="1"/>
  <c r="AF7" i="1" s="1"/>
  <c r="W8" i="1"/>
  <c r="AH8" i="1"/>
  <c r="I9" i="1"/>
  <c r="AG8" i="1" l="1"/>
  <c r="AJ8" i="1" s="1"/>
  <c r="Y8" i="1"/>
  <c r="AG7" i="1"/>
  <c r="AJ7" i="1" s="1"/>
  <c r="AL7" i="1" s="1"/>
  <c r="J9" i="1"/>
  <c r="L9" i="1" s="1"/>
  <c r="AL8" i="1" l="1"/>
  <c r="AE9" i="1"/>
  <c r="T9" i="1"/>
  <c r="U9" i="1" s="1"/>
  <c r="V9" i="1" s="1"/>
  <c r="I10" i="1"/>
  <c r="J10" i="1" l="1"/>
  <c r="L10" i="1" s="1"/>
  <c r="I11" i="1"/>
  <c r="J11" i="1" s="1"/>
  <c r="L11" i="1" s="1"/>
  <c r="AD9" i="1"/>
  <c r="AF9" i="1" s="1"/>
  <c r="S9" i="1"/>
  <c r="Y9" i="1" s="1"/>
  <c r="T11" i="1" l="1"/>
  <c r="AE11" i="1"/>
  <c r="U11" i="1"/>
  <c r="V11" i="1" s="1"/>
  <c r="AE10" i="1"/>
  <c r="T10" i="1"/>
  <c r="U10" i="1" s="1"/>
  <c r="V10" i="1" s="1"/>
  <c r="AG9" i="1"/>
  <c r="AJ9" i="1" s="1"/>
  <c r="AL9" i="1" s="1"/>
  <c r="I12" i="1"/>
  <c r="J12" i="1" l="1"/>
  <c r="L12" i="1" s="1"/>
  <c r="I13" i="1"/>
  <c r="J13" i="1" l="1"/>
  <c r="AE12" i="1"/>
  <c r="T12" i="1"/>
  <c r="U12" i="1" s="1"/>
  <c r="V12" i="1" s="1"/>
  <c r="W13" i="1"/>
  <c r="AH13" i="1"/>
  <c r="S12" i="1"/>
  <c r="AD12" i="1"/>
  <c r="AF12" i="1" l="1"/>
  <c r="AG12" i="1" s="1"/>
  <c r="AJ12" i="1" s="1"/>
  <c r="L13" i="1"/>
  <c r="AE13" i="1" s="1"/>
  <c r="I14" i="1"/>
  <c r="Y12" i="1"/>
  <c r="AD14" i="1"/>
  <c r="S14" i="1"/>
  <c r="AD13" i="1"/>
  <c r="S13" i="1"/>
  <c r="AF13" i="1" l="1"/>
  <c r="T13" i="1"/>
  <c r="U13" i="1" s="1"/>
  <c r="V13" i="1" s="1"/>
  <c r="Y13" i="1"/>
  <c r="J14" i="1"/>
  <c r="AL12" i="1"/>
  <c r="AG13" i="1"/>
  <c r="AJ13" i="1" s="1"/>
  <c r="AL13" i="1" l="1"/>
  <c r="L14" i="1"/>
  <c r="I15" i="1"/>
  <c r="J15" i="1"/>
  <c r="AD15" i="1"/>
  <c r="S15" i="1"/>
  <c r="L15" i="1" l="1"/>
  <c r="I16" i="1"/>
  <c r="AE14" i="1"/>
  <c r="AF14" i="1" s="1"/>
  <c r="AG14" i="1" s="1"/>
  <c r="AJ14" i="1" s="1"/>
  <c r="T14" i="1"/>
  <c r="U14" i="1" s="1"/>
  <c r="V14" i="1" s="1"/>
  <c r="Y14" i="1" s="1"/>
  <c r="S17" i="1"/>
  <c r="AD17" i="1"/>
  <c r="S16" i="1"/>
  <c r="AD16" i="1"/>
  <c r="W18" i="1"/>
  <c r="AL14" i="1" l="1"/>
  <c r="T15" i="1"/>
  <c r="U15" i="1" s="1"/>
  <c r="V15" i="1" s="1"/>
  <c r="Y15" i="1" s="1"/>
  <c r="AE15" i="1"/>
  <c r="AF15" i="1" s="1"/>
  <c r="AG15" i="1" s="1"/>
  <c r="AJ15" i="1" s="1"/>
  <c r="J16" i="1"/>
  <c r="L16" i="1" l="1"/>
  <c r="I17" i="1"/>
  <c r="J17" i="1"/>
  <c r="AL15" i="1"/>
  <c r="L17" i="1" l="1"/>
  <c r="I18" i="1"/>
  <c r="AE16" i="1"/>
  <c r="AF16" i="1" s="1"/>
  <c r="AG16" i="1" s="1"/>
  <c r="AJ16" i="1" s="1"/>
  <c r="T16" i="1"/>
  <c r="U16" i="1" s="1"/>
  <c r="V16" i="1" s="1"/>
  <c r="Y16" i="1" s="1"/>
  <c r="AD18" i="1"/>
  <c r="S18" i="1"/>
  <c r="AE17" i="1" l="1"/>
  <c r="AF17" i="1" s="1"/>
  <c r="AG17" i="1" s="1"/>
  <c r="AJ17" i="1" s="1"/>
  <c r="T17" i="1"/>
  <c r="U17" i="1" s="1"/>
  <c r="V17" i="1" s="1"/>
  <c r="Y17" i="1" s="1"/>
  <c r="AL16" i="1"/>
  <c r="J18" i="1"/>
  <c r="S19" i="1"/>
  <c r="AD19" i="1"/>
  <c r="L18" i="1" l="1"/>
  <c r="I19" i="1"/>
  <c r="J19" i="1" s="1"/>
  <c r="AL17" i="1"/>
  <c r="S20" i="1"/>
  <c r="AD20" i="1"/>
  <c r="L19" i="1" l="1"/>
  <c r="I20" i="1"/>
  <c r="J20" i="1"/>
  <c r="AE18" i="1"/>
  <c r="AF18" i="1" s="1"/>
  <c r="AG18" i="1" s="1"/>
  <c r="AJ18" i="1" s="1"/>
  <c r="T18" i="1"/>
  <c r="U18" i="1" s="1"/>
  <c r="V18" i="1" s="1"/>
  <c r="Y18" i="1" s="1"/>
  <c r="L20" i="1" l="1"/>
  <c r="I21" i="1"/>
  <c r="J21" i="1"/>
  <c r="AL18" i="1"/>
  <c r="T19" i="1"/>
  <c r="U19" i="1" s="1"/>
  <c r="V19" i="1" s="1"/>
  <c r="Y19" i="1" s="1"/>
  <c r="AE19" i="1"/>
  <c r="AF19" i="1" s="1"/>
  <c r="AG19" i="1" s="1"/>
  <c r="AJ19" i="1" s="1"/>
  <c r="AL19" i="1" s="1"/>
  <c r="AD21" i="1"/>
  <c r="S21" i="1"/>
  <c r="L21" i="1" l="1"/>
  <c r="I22" i="1"/>
  <c r="T20" i="1"/>
  <c r="U20" i="1" s="1"/>
  <c r="V20" i="1" s="1"/>
  <c r="Y20" i="1" s="1"/>
  <c r="AE20" i="1"/>
  <c r="AF20" i="1" s="1"/>
  <c r="AG20" i="1" s="1"/>
  <c r="AJ20" i="1" s="1"/>
  <c r="I24" i="1"/>
  <c r="AD22" i="1"/>
  <c r="S22" i="1"/>
  <c r="AL20" i="1" l="1"/>
  <c r="J22" i="1"/>
  <c r="AE21" i="1"/>
  <c r="AF21" i="1" s="1"/>
  <c r="AG21" i="1" s="1"/>
  <c r="AJ21" i="1" s="1"/>
  <c r="T21" i="1"/>
  <c r="U21" i="1" s="1"/>
  <c r="V21" i="1" s="1"/>
  <c r="Y21" i="1" s="1"/>
  <c r="J24" i="1"/>
  <c r="U24" i="1"/>
  <c r="I25" i="1"/>
  <c r="V24" i="1"/>
  <c r="S23" i="1"/>
  <c r="AD23" i="1"/>
  <c r="AL21" i="1" l="1"/>
  <c r="L22" i="1"/>
  <c r="I23" i="1"/>
  <c r="J23" i="1" s="1"/>
  <c r="U25" i="1"/>
  <c r="V25" i="1" s="1"/>
  <c r="S24" i="1"/>
  <c r="Y24" i="1" s="1"/>
  <c r="AD24" i="1"/>
  <c r="AF24" i="1" s="1"/>
  <c r="J25" i="1"/>
  <c r="W23" i="1" l="1"/>
  <c r="L23" i="1"/>
  <c r="AH23" i="1"/>
  <c r="AE22" i="1"/>
  <c r="AF22" i="1" s="1"/>
  <c r="AG22" i="1" s="1"/>
  <c r="AJ22" i="1" s="1"/>
  <c r="T22" i="1"/>
  <c r="U22" i="1" s="1"/>
  <c r="V22" i="1" s="1"/>
  <c r="Y22" i="1" s="1"/>
  <c r="I26" i="1"/>
  <c r="J26" i="1"/>
  <c r="AG24" i="1"/>
  <c r="AJ24" i="1" s="1"/>
  <c r="AL24" i="1" s="1"/>
  <c r="T23" i="1" l="1"/>
  <c r="U23" i="1" s="1"/>
  <c r="V23" i="1" s="1"/>
  <c r="Y23" i="1" s="1"/>
  <c r="AE23" i="1"/>
  <c r="AF23" i="1" s="1"/>
  <c r="AG23" i="1" s="1"/>
  <c r="AJ23" i="1" s="1"/>
  <c r="AL23" i="1" s="1"/>
  <c r="AL22" i="1"/>
  <c r="U26" i="1"/>
  <c r="V26" i="1" s="1"/>
  <c r="I27" i="1"/>
  <c r="J27" i="1"/>
  <c r="AD25" i="1"/>
  <c r="AF25" i="1" s="1"/>
  <c r="S25" i="1"/>
  <c r="Y25" i="1" s="1"/>
  <c r="U27" i="1" l="1"/>
  <c r="AG25" i="1"/>
  <c r="AJ25" i="1" s="1"/>
  <c r="AL25" i="1" s="1"/>
  <c r="I28" i="1"/>
  <c r="V27" i="1"/>
  <c r="AD26" i="1"/>
  <c r="AF26" i="1" s="1"/>
  <c r="S26" i="1"/>
  <c r="Y26" i="1" s="1"/>
  <c r="U28" i="1" l="1"/>
  <c r="V28" i="1" s="1"/>
  <c r="AD27" i="1"/>
  <c r="AF27" i="1" s="1"/>
  <c r="S27" i="1"/>
  <c r="Y27" i="1" s="1"/>
  <c r="AG26" i="1"/>
  <c r="AJ26" i="1" s="1"/>
  <c r="AL26" i="1" s="1"/>
  <c r="J28" i="1"/>
  <c r="W28" i="1" l="1"/>
  <c r="I29" i="1"/>
  <c r="AG27" i="1"/>
  <c r="AJ27" i="1" s="1"/>
  <c r="AL27" i="1" s="1"/>
  <c r="J29" i="1" l="1"/>
  <c r="U29" i="1"/>
  <c r="V29" i="1" s="1"/>
  <c r="I30" i="1"/>
  <c r="J30" i="1"/>
  <c r="S28" i="1"/>
  <c r="Y28" i="1" s="1"/>
  <c r="AD28" i="1"/>
  <c r="AF28" i="1" s="1"/>
  <c r="U30" i="1" l="1"/>
  <c r="V30" i="1" s="1"/>
  <c r="I31" i="1"/>
  <c r="AG28" i="1"/>
  <c r="AJ28" i="1" s="1"/>
  <c r="AL28" i="1" s="1"/>
  <c r="AD29" i="1"/>
  <c r="AF29" i="1" s="1"/>
  <c r="S29" i="1"/>
  <c r="Y29" i="1" s="1"/>
  <c r="U31" i="1" l="1"/>
  <c r="V31" i="1" s="1"/>
  <c r="AG29" i="1"/>
  <c r="AJ29" i="1" s="1"/>
  <c r="AL29" i="1" s="1"/>
  <c r="J31" i="1"/>
  <c r="AD30" i="1"/>
  <c r="AF30" i="1" s="1"/>
  <c r="S30" i="1"/>
  <c r="Y30" i="1" s="1"/>
  <c r="AG30" i="1" l="1"/>
  <c r="AJ30" i="1" s="1"/>
  <c r="AL30" i="1" s="1"/>
  <c r="I32" i="1"/>
  <c r="J32" i="1"/>
  <c r="U32" i="1" l="1"/>
  <c r="AD31" i="1"/>
  <c r="AF31" i="1" s="1"/>
  <c r="S31" i="1"/>
  <c r="Y31" i="1" s="1"/>
  <c r="I33" i="1"/>
  <c r="V32" i="1"/>
  <c r="I44" i="1"/>
  <c r="J44" i="1"/>
  <c r="U44" i="1" l="1"/>
  <c r="AF44" i="1"/>
  <c r="AG44" i="1" s="1"/>
  <c r="U33" i="1"/>
  <c r="V33" i="1" s="1"/>
  <c r="S32" i="1"/>
  <c r="Y32" i="1" s="1"/>
  <c r="AD32" i="1"/>
  <c r="AF32" i="1" s="1"/>
  <c r="J33" i="1"/>
  <c r="AG31" i="1"/>
  <c r="AJ31" i="1" s="1"/>
  <c r="AL31" i="1" s="1"/>
  <c r="V44" i="1"/>
  <c r="Y44" i="1" s="1"/>
  <c r="I45" i="1"/>
  <c r="J45" i="1"/>
  <c r="AF45" i="1" l="1"/>
  <c r="AG45" i="1" s="1"/>
  <c r="U45" i="1"/>
  <c r="V45" i="1" s="1"/>
  <c r="Y45" i="1" s="1"/>
  <c r="I34" i="1"/>
  <c r="J34" i="1"/>
  <c r="AH33" i="1"/>
  <c r="W33" i="1"/>
  <c r="AG32" i="1"/>
  <c r="AJ32" i="1" s="1"/>
  <c r="AL32" i="1" s="1"/>
  <c r="AJ44" i="1"/>
  <c r="I46" i="1"/>
  <c r="J46" i="1"/>
  <c r="AF46" i="1" l="1"/>
  <c r="U46" i="1"/>
  <c r="AF34" i="1"/>
  <c r="AG34" i="1" s="1"/>
  <c r="AJ34" i="1" s="1"/>
  <c r="U34" i="1"/>
  <c r="V34" i="1" s="1"/>
  <c r="Y34" i="1" s="1"/>
  <c r="I35" i="1"/>
  <c r="S33" i="1"/>
  <c r="Y33" i="1" s="1"/>
  <c r="AD33" i="1"/>
  <c r="AF33" i="1" s="1"/>
  <c r="AL44" i="1"/>
  <c r="AG46" i="1"/>
  <c r="V46" i="1"/>
  <c r="Y46" i="1" s="1"/>
  <c r="AJ45" i="1"/>
  <c r="AL45" i="1" s="1"/>
  <c r="I47" i="1"/>
  <c r="J47" i="1"/>
  <c r="AF47" i="1" l="1"/>
  <c r="AG47" i="1" s="1"/>
  <c r="U47" i="1"/>
  <c r="V47" i="1" s="1"/>
  <c r="Y47" i="1" s="1"/>
  <c r="U35" i="1"/>
  <c r="V35" i="1" s="1"/>
  <c r="Y35" i="1" s="1"/>
  <c r="AF35" i="1"/>
  <c r="AG35" i="1" s="1"/>
  <c r="AJ35" i="1" s="1"/>
  <c r="AL34" i="1"/>
  <c r="J35" i="1"/>
  <c r="AG33" i="1"/>
  <c r="AJ33" i="1" s="1"/>
  <c r="AL33" i="1" s="1"/>
  <c r="AJ46" i="1"/>
  <c r="AL46" i="1" s="1"/>
  <c r="I48" i="1"/>
  <c r="J48" i="1"/>
  <c r="AF48" i="1" l="1"/>
  <c r="U48" i="1"/>
  <c r="V48" i="1" s="1"/>
  <c r="Y48" i="1" s="1"/>
  <c r="I36" i="1"/>
  <c r="J36" i="1"/>
  <c r="AL35" i="1"/>
  <c r="AG48" i="1"/>
  <c r="AJ47" i="1"/>
  <c r="AL47" i="1" s="1"/>
  <c r="I49" i="1"/>
  <c r="J49" i="1"/>
  <c r="U36" i="1" l="1"/>
  <c r="V36" i="1" s="1"/>
  <c r="Y36" i="1" s="1"/>
  <c r="AF36" i="1"/>
  <c r="AG36" i="1" s="1"/>
  <c r="AJ36" i="1" s="1"/>
  <c r="AF49" i="1"/>
  <c r="AG49" i="1" s="1"/>
  <c r="U49" i="1"/>
  <c r="V49" i="1" s="1"/>
  <c r="Y49" i="1" s="1"/>
  <c r="I37" i="1"/>
  <c r="AJ48" i="1"/>
  <c r="AL48" i="1" s="1"/>
  <c r="I50" i="1"/>
  <c r="J50" i="1"/>
  <c r="AF50" i="1" l="1"/>
  <c r="U50" i="1"/>
  <c r="AF37" i="1"/>
  <c r="AG37" i="1" s="1"/>
  <c r="AJ37" i="1" s="1"/>
  <c r="U37" i="1"/>
  <c r="V37" i="1" s="1"/>
  <c r="Y37" i="1" s="1"/>
  <c r="AL36" i="1"/>
  <c r="J37" i="1"/>
  <c r="AG50" i="1"/>
  <c r="V50" i="1"/>
  <c r="Y50" i="1" s="1"/>
  <c r="AJ49" i="1"/>
  <c r="AL49" i="1" s="1"/>
  <c r="I51" i="1"/>
  <c r="J51" i="1"/>
  <c r="U51" i="1" l="1"/>
  <c r="AF51" i="1"/>
  <c r="AG51" i="1" s="1"/>
  <c r="I38" i="1"/>
  <c r="AL37" i="1"/>
  <c r="V51" i="1"/>
  <c r="Y51" i="1" s="1"/>
  <c r="AJ50" i="1"/>
  <c r="AL50" i="1" s="1"/>
  <c r="I52" i="1"/>
  <c r="J52" i="1"/>
  <c r="U52" i="1" l="1"/>
  <c r="V52" i="1" s="1"/>
  <c r="Y52" i="1" s="1"/>
  <c r="AF52" i="1"/>
  <c r="AG52" i="1" s="1"/>
  <c r="AF38" i="1"/>
  <c r="AG38" i="1" s="1"/>
  <c r="AJ38" i="1" s="1"/>
  <c r="U38" i="1"/>
  <c r="V38" i="1" s="1"/>
  <c r="Y38" i="1" s="1"/>
  <c r="J38" i="1"/>
  <c r="AJ51" i="1"/>
  <c r="AL51" i="1" s="1"/>
  <c r="I53" i="1"/>
  <c r="J53" i="1"/>
  <c r="AF53" i="1" l="1"/>
  <c r="U53" i="1"/>
  <c r="I39" i="1"/>
  <c r="J39" i="1"/>
  <c r="AL38" i="1"/>
  <c r="AJ52" i="1"/>
  <c r="AG53" i="1"/>
  <c r="V53" i="1"/>
  <c r="Y53" i="1" s="1"/>
  <c r="AF39" i="1" l="1"/>
  <c r="U39" i="1"/>
  <c r="V39" i="1" s="1"/>
  <c r="Y39" i="1" s="1"/>
  <c r="I40" i="1"/>
  <c r="AG39" i="1"/>
  <c r="AJ39" i="1" s="1"/>
  <c r="AL52" i="1"/>
  <c r="AJ53" i="1"/>
  <c r="AF40" i="1" l="1"/>
  <c r="U40" i="1"/>
  <c r="V40" i="1" s="1"/>
  <c r="Y40" i="1" s="1"/>
  <c r="AL39" i="1"/>
  <c r="AG40" i="1"/>
  <c r="AJ40" i="1" s="1"/>
  <c r="J40" i="1"/>
  <c r="AL53" i="1"/>
  <c r="I41" i="1" l="1"/>
  <c r="J41" i="1"/>
  <c r="AL40" i="1"/>
  <c r="AF41" i="1" l="1"/>
  <c r="U41" i="1"/>
  <c r="V41" i="1" s="1"/>
  <c r="Y41" i="1" s="1"/>
  <c r="I42" i="1"/>
  <c r="J42" i="1"/>
  <c r="AG41" i="1"/>
  <c r="AJ41" i="1" s="1"/>
  <c r="AD11" i="1"/>
  <c r="S11" i="1"/>
  <c r="Y11" i="1" s="1"/>
  <c r="S10" i="1"/>
  <c r="Y10" i="1" s="1"/>
  <c r="AD10" i="1"/>
  <c r="AF10" i="1" l="1"/>
  <c r="AG10" i="1" s="1"/>
  <c r="AJ10" i="1" s="1"/>
  <c r="AF11" i="1"/>
  <c r="AG11" i="1" s="1"/>
  <c r="AJ11" i="1" s="1"/>
  <c r="AL11" i="1" s="1"/>
  <c r="AF42" i="1"/>
  <c r="AG42" i="1" s="1"/>
  <c r="AJ42" i="1" s="1"/>
  <c r="U42" i="1"/>
  <c r="AL41" i="1"/>
  <c r="I43" i="1"/>
  <c r="J43" i="1"/>
  <c r="V42" i="1"/>
  <c r="Y42" i="1" s="1"/>
  <c r="U43" i="1" l="1"/>
  <c r="V43" i="1" s="1"/>
  <c r="AF43" i="1"/>
  <c r="AL42" i="1"/>
  <c r="W43" i="1"/>
  <c r="AH43" i="1"/>
  <c r="AG43" i="1"/>
  <c r="AL10" i="1"/>
  <c r="AJ43" i="1" l="1"/>
  <c r="B27" i="1" s="1"/>
  <c r="Y43" i="1"/>
  <c r="AL43" i="1" l="1"/>
  <c r="B26" i="1"/>
</calcChain>
</file>

<file path=xl/sharedStrings.xml><?xml version="1.0" encoding="utf-8"?>
<sst xmlns="http://schemas.openxmlformats.org/spreadsheetml/2006/main" count="68" uniqueCount="55">
  <si>
    <t>Depreciation Period:</t>
  </si>
  <si>
    <t>Interest Rate:</t>
  </si>
  <si>
    <t>Mortgage Period:</t>
  </si>
  <si>
    <t>Price:</t>
  </si>
  <si>
    <t>Capital Gains Rate:</t>
  </si>
  <si>
    <t>Federal Marginal Tax Bracket:</t>
  </si>
  <si>
    <t>State Marginal Tax Bracket:</t>
  </si>
  <si>
    <t>Yes</t>
  </si>
  <si>
    <t>Downpayment Percentage:</t>
  </si>
  <si>
    <t>FMV Monthly Rent:</t>
  </si>
  <si>
    <t>Year</t>
  </si>
  <si>
    <t>Principal</t>
  </si>
  <si>
    <t>Interest</t>
  </si>
  <si>
    <t>Property Tax Rate:</t>
  </si>
  <si>
    <t>Property Value</t>
  </si>
  <si>
    <t>Basis</t>
  </si>
  <si>
    <t>Mortgage Payment</t>
  </si>
  <si>
    <t>Sale Proceeds</t>
  </si>
  <si>
    <t>Selling Commissions:</t>
  </si>
  <si>
    <t>§121 Exclusion:</t>
  </si>
  <si>
    <t>Owner Cash Flows</t>
  </si>
  <si>
    <t>Proceeds from Sale</t>
  </si>
  <si>
    <t>Values</t>
  </si>
  <si>
    <t>Total</t>
  </si>
  <si>
    <t>Rent</t>
  </si>
  <si>
    <t>Maintenance Expenses:</t>
  </si>
  <si>
    <t>Item</t>
  </si>
  <si>
    <t>Value</t>
  </si>
  <si>
    <t>Maintenance Growth Rate:</t>
  </si>
  <si>
    <t>Rent Growth Rate:</t>
  </si>
  <si>
    <t>Price Growth Rate:</t>
  </si>
  <si>
    <t>Property Taxes</t>
  </si>
  <si>
    <t>Landlord Cash Flows</t>
  </si>
  <si>
    <t>Depreciation</t>
  </si>
  <si>
    <t>Total Deductions</t>
  </si>
  <si>
    <t>3) Ignores passive activity loss rules</t>
  </si>
  <si>
    <t>2)  Assumes the taxpayer is not in AMT</t>
  </si>
  <si>
    <t>Model Notes:</t>
  </si>
  <si>
    <t xml:space="preserve"> 1) Ignores above-the-line vs. below-the-line  distinctions on deductions</t>
  </si>
  <si>
    <t>Income Taxes</t>
  </si>
  <si>
    <t>Tax on Sale</t>
  </si>
  <si>
    <t>Maximum Depreciation Recapture Rate:</t>
  </si>
  <si>
    <t>Difference</t>
  </si>
  <si>
    <t>Owner IRR:</t>
  </si>
  <si>
    <t>Landlord IRR:</t>
  </si>
  <si>
    <t>Imputed Rent</t>
  </si>
  <si>
    <t>P&amp;C Insurance Growth Rate:</t>
  </si>
  <si>
    <t>Maintenance &amp; Insurance</t>
  </si>
  <si>
    <t>PMI</t>
  </si>
  <si>
    <t>No</t>
  </si>
  <si>
    <t>Holding Period (years):</t>
  </si>
  <si>
    <t>Itemize?</t>
  </si>
  <si>
    <t>PMI (If equity&lt;20%, $55/mo/$100k)?</t>
  </si>
  <si>
    <t>P&amp;C Insurance Premium:</t>
  </si>
  <si>
    <t>Non-depreciable portion (i.e. land):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</si>
</sst>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6" fontId="0" fillId="0" borderId="6" xfId="0" applyNumberForma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6" fontId="0" fillId="0" borderId="7" xfId="0" applyNumberFormat="1" applyBorder="1" applyAlignment="1">
      <alignment horizontal="center"/>
    </xf>
    <xf numFmtId="6" fontId="0" fillId="0" borderId="3" xfId="0" applyNumberFormat="1" applyBorder="1" applyAlignment="1">
      <alignment horizontal="center"/>
    </xf>
    <xf numFmtId="6" fontId="0" fillId="0" borderId="8" xfId="0" applyNumberFormat="1" applyBorder="1" applyAlignment="1">
      <alignment horizontal="center"/>
    </xf>
    <xf numFmtId="6" fontId="0" fillId="0" borderId="4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6" xfId="0" applyBorder="1" applyAlignment="1">
      <alignment horizontal="left"/>
    </xf>
    <xf numFmtId="10" fontId="0" fillId="2" borderId="7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7" xfId="0" applyNumberFormat="1" applyFill="1" applyBorder="1" applyAlignment="1">
      <alignment horizontal="center"/>
    </xf>
    <xf numFmtId="6" fontId="0" fillId="2" borderId="7" xfId="0" applyNumberFormat="1" applyFill="1" applyBorder="1" applyAlignment="1">
      <alignment horizontal="center"/>
    </xf>
    <xf numFmtId="0" fontId="0" fillId="0" borderId="3" xfId="0" applyBorder="1" applyAlignment="1">
      <alignment horizontal="left"/>
    </xf>
    <xf numFmtId="10" fontId="0" fillId="2" borderId="4" xfId="0" applyNumberForma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10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10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tabSelected="1" workbookViewId="0">
      <pane xSplit="4" topLeftCell="R1" activePane="topRight" state="frozen"/>
      <selection pane="topRight"/>
    </sheetView>
  </sheetViews>
  <sheetFormatPr defaultRowHeight="15" x14ac:dyDescent="0.25"/>
  <cols>
    <col min="1" max="1" width="37" style="3" bestFit="1" customWidth="1"/>
    <col min="2" max="2" width="9.28515625" style="1" bestFit="1" customWidth="1"/>
    <col min="3" max="3" width="9.140625" style="1"/>
    <col min="4" max="4" width="5" style="1" bestFit="1" customWidth="1"/>
    <col min="5" max="5" width="14.42578125" style="1" bestFit="1" customWidth="1"/>
    <col min="6" max="6" width="12.42578125" style="1" bestFit="1" customWidth="1"/>
    <col min="7" max="7" width="9.28515625" style="1" bestFit="1" customWidth="1"/>
    <col min="8" max="8" width="18.140625" style="1" bestFit="1" customWidth="1"/>
    <col min="9" max="9" width="8.28515625" style="1" bestFit="1" customWidth="1"/>
    <col min="10" max="10" width="9.28515625" style="1" bestFit="1" customWidth="1"/>
    <col min="11" max="11" width="24.140625" style="1" bestFit="1" customWidth="1"/>
    <col min="12" max="12" width="4.5703125" style="1" bestFit="1" customWidth="1"/>
    <col min="13" max="13" width="14.28515625" style="1" bestFit="1" customWidth="1"/>
    <col min="14" max="14" width="13.42578125" style="1" bestFit="1" customWidth="1"/>
    <col min="15" max="15" width="9.140625" customWidth="1"/>
    <col min="16" max="16" width="13.28515625" style="1" bestFit="1" customWidth="1"/>
    <col min="17" max="17" width="18.140625" style="1" bestFit="1" customWidth="1"/>
    <col min="18" max="18" width="14.28515625" style="1" bestFit="1" customWidth="1"/>
    <col min="19" max="19" width="24.140625" style="1" bestFit="1" customWidth="1"/>
    <col min="20" max="20" width="4.5703125" style="1" bestFit="1" customWidth="1"/>
    <col min="21" max="21" width="16" style="1" bestFit="1" customWidth="1"/>
    <col min="22" max="22" width="13.140625" style="1" bestFit="1" customWidth="1"/>
    <col min="23" max="23" width="18.28515625" style="1" bestFit="1" customWidth="1"/>
    <col min="24" max="24" width="10.85546875" style="1" bestFit="1" customWidth="1"/>
    <col min="25" max="25" width="9.28515625" style="1" bestFit="1" customWidth="1"/>
    <col min="26" max="26" width="9.140625" style="1" customWidth="1"/>
    <col min="27" max="27" width="8.28515625" style="1" bestFit="1" customWidth="1"/>
    <col min="28" max="28" width="18.140625" style="1" bestFit="1" customWidth="1"/>
    <col min="29" max="29" width="14.28515625" style="1" bestFit="1" customWidth="1"/>
    <col min="30" max="30" width="24.140625" style="1" bestFit="1" customWidth="1"/>
    <col min="31" max="31" width="4.5703125" style="1" bestFit="1" customWidth="1"/>
    <col min="32" max="32" width="16" style="1" bestFit="1" customWidth="1"/>
    <col min="33" max="33" width="13.140625" style="1" bestFit="1" customWidth="1"/>
    <col min="34" max="34" width="18.28515625" style="1" bestFit="1" customWidth="1"/>
    <col min="35" max="35" width="10.85546875" style="1" bestFit="1" customWidth="1"/>
    <col min="36" max="36" width="9.28515625" style="1" bestFit="1" customWidth="1"/>
    <col min="37" max="37" width="9.140625" style="1" customWidth="1"/>
    <col min="38" max="38" width="10.42578125" style="1" bestFit="1" customWidth="1"/>
    <col min="39" max="39" width="9.140625" style="1" customWidth="1"/>
    <col min="40" max="16384" width="9.140625" style="1"/>
  </cols>
  <sheetData>
    <row r="1" spans="1:38" x14ac:dyDescent="0.25">
      <c r="A1" s="18" t="s">
        <v>26</v>
      </c>
      <c r="B1" s="19" t="s">
        <v>27</v>
      </c>
      <c r="D1" s="14"/>
      <c r="E1" s="32" t="s">
        <v>22</v>
      </c>
      <c r="F1" s="33"/>
      <c r="G1" s="33"/>
      <c r="H1" s="33"/>
      <c r="I1" s="33"/>
      <c r="J1" s="33"/>
      <c r="K1" s="33"/>
      <c r="L1" s="33"/>
      <c r="M1" s="33"/>
      <c r="N1" s="34"/>
      <c r="O1" s="31"/>
      <c r="P1" s="32" t="s">
        <v>20</v>
      </c>
      <c r="Q1" s="33"/>
      <c r="R1" s="33"/>
      <c r="S1" s="33"/>
      <c r="T1" s="33"/>
      <c r="U1" s="33"/>
      <c r="V1" s="33"/>
      <c r="W1" s="33"/>
      <c r="X1" s="33"/>
      <c r="Y1" s="34"/>
      <c r="Z1" s="31"/>
      <c r="AA1" s="32" t="s">
        <v>32</v>
      </c>
      <c r="AB1" s="33"/>
      <c r="AC1" s="33"/>
      <c r="AD1" s="33"/>
      <c r="AE1" s="33"/>
      <c r="AF1" s="33"/>
      <c r="AG1" s="33"/>
      <c r="AH1" s="33"/>
      <c r="AI1" s="33"/>
      <c r="AJ1" s="34"/>
    </row>
    <row r="2" spans="1:38" x14ac:dyDescent="0.25">
      <c r="A2" s="20" t="s">
        <v>5</v>
      </c>
      <c r="B2" s="21">
        <v>0.25</v>
      </c>
      <c r="D2" s="15" t="s">
        <v>10</v>
      </c>
      <c r="E2" s="5" t="s">
        <v>14</v>
      </c>
      <c r="F2" s="6" t="s">
        <v>33</v>
      </c>
      <c r="G2" s="6" t="s">
        <v>15</v>
      </c>
      <c r="H2" s="6" t="s">
        <v>16</v>
      </c>
      <c r="I2" s="6" t="s">
        <v>12</v>
      </c>
      <c r="J2" s="6" t="s">
        <v>11</v>
      </c>
      <c r="K2" s="6" t="s">
        <v>47</v>
      </c>
      <c r="L2" s="6" t="s">
        <v>48</v>
      </c>
      <c r="M2" s="6" t="s">
        <v>31</v>
      </c>
      <c r="N2" s="7" t="s">
        <v>17</v>
      </c>
      <c r="O2" s="1"/>
      <c r="P2" s="5" t="s">
        <v>45</v>
      </c>
      <c r="Q2" s="6" t="s">
        <v>16</v>
      </c>
      <c r="R2" s="6" t="s">
        <v>31</v>
      </c>
      <c r="S2" s="6" t="s">
        <v>47</v>
      </c>
      <c r="T2" s="6" t="s">
        <v>48</v>
      </c>
      <c r="U2" s="6" t="s">
        <v>34</v>
      </c>
      <c r="V2" s="6" t="s">
        <v>39</v>
      </c>
      <c r="W2" s="6" t="s">
        <v>21</v>
      </c>
      <c r="X2" s="6" t="s">
        <v>40</v>
      </c>
      <c r="Y2" s="7" t="s">
        <v>23</v>
      </c>
      <c r="AA2" s="5" t="s">
        <v>24</v>
      </c>
      <c r="AB2" s="6" t="s">
        <v>16</v>
      </c>
      <c r="AC2" s="6" t="s">
        <v>31</v>
      </c>
      <c r="AD2" s="6" t="s">
        <v>47</v>
      </c>
      <c r="AE2" s="6" t="s">
        <v>48</v>
      </c>
      <c r="AF2" s="6" t="s">
        <v>34</v>
      </c>
      <c r="AG2" s="6" t="s">
        <v>39</v>
      </c>
      <c r="AH2" s="6" t="s">
        <v>21</v>
      </c>
      <c r="AI2" s="6" t="s">
        <v>40</v>
      </c>
      <c r="AJ2" s="7" t="s">
        <v>23</v>
      </c>
      <c r="AL2" s="4" t="s">
        <v>42</v>
      </c>
    </row>
    <row r="3" spans="1:38" x14ac:dyDescent="0.25">
      <c r="A3" s="20" t="s">
        <v>6</v>
      </c>
      <c r="B3" s="21">
        <v>0.06</v>
      </c>
      <c r="D3" s="16">
        <v>0</v>
      </c>
      <c r="E3" s="8">
        <f>IF(D3&gt;$B$21,0,$B$11*(1+$B$13)^D3)</f>
        <v>310000</v>
      </c>
      <c r="F3" s="9">
        <v>0</v>
      </c>
      <c r="G3" s="9">
        <f>IF(D3&gt;$B$21,0,MAX($B$11-(D3*($B$11-$B$12)/$B$6),0))</f>
        <v>310000</v>
      </c>
      <c r="H3" s="9">
        <f>-B8*B11</f>
        <v>0</v>
      </c>
      <c r="I3" s="9">
        <v>0</v>
      </c>
      <c r="J3" s="9">
        <f>B11+H3</f>
        <v>310000</v>
      </c>
      <c r="K3" s="9">
        <v>0</v>
      </c>
      <c r="L3" s="9">
        <v>0</v>
      </c>
      <c r="M3" s="9">
        <v>0</v>
      </c>
      <c r="N3" s="10">
        <f>IF(D3=$B$21,E3*(1-$B$24),0)</f>
        <v>0</v>
      </c>
      <c r="O3" s="1"/>
      <c r="P3" s="8">
        <v>0</v>
      </c>
      <c r="Q3" s="9">
        <f t="shared" ref="Q3:Q34" si="0">H3</f>
        <v>0</v>
      </c>
      <c r="R3" s="9">
        <f>M3</f>
        <v>0</v>
      </c>
      <c r="S3" s="9">
        <f>K3</f>
        <v>0</v>
      </c>
      <c r="T3" s="9">
        <f>L3</f>
        <v>0</v>
      </c>
      <c r="U3" s="9">
        <f>I3-R3-T3</f>
        <v>0</v>
      </c>
      <c r="V3" s="9">
        <f>IF($B$5="Yes",U3*($B$2+$B$3-$B$2*$B$3),0)</f>
        <v>0</v>
      </c>
      <c r="W3" s="9">
        <f>IF(D3=$B$21,N3-J3,0)</f>
        <v>0</v>
      </c>
      <c r="X3" s="9">
        <f>-IF(D3=$B$21,IF($B$5="Yes",MAX(N3-$B$11-$B$22,0)*($B$4+$B$3-$B$3*$B$2),MAX(N3-$B$11-$B$22,0)*($B$4+$B$3)),0)</f>
        <v>0</v>
      </c>
      <c r="Y3" s="10">
        <f>P3+Q3+R3+S3+V3+W3+X3</f>
        <v>0</v>
      </c>
      <c r="AA3" s="8">
        <v>0</v>
      </c>
      <c r="AB3" s="9">
        <f t="shared" ref="AB3:AB34" si="1">H3</f>
        <v>0</v>
      </c>
      <c r="AC3" s="9">
        <f>M3</f>
        <v>0</v>
      </c>
      <c r="AD3" s="9">
        <f>K3</f>
        <v>0</v>
      </c>
      <c r="AE3" s="9">
        <f>L3</f>
        <v>0</v>
      </c>
      <c r="AF3" s="9">
        <f>F3+I3-AD3-AC3-AE3</f>
        <v>0</v>
      </c>
      <c r="AG3" s="9">
        <f>-IF($B$5="Yes",(AA3-AF3)*($B$2+$B$3-$B$2*$B$3),(AA3-AF3)*($B$2+$B$3))</f>
        <v>0</v>
      </c>
      <c r="AH3" s="9">
        <f>IF(D3=$B$21,N3-J3,0)</f>
        <v>0</v>
      </c>
      <c r="AI3" s="9">
        <f>-IF(D3=$B$21,MAX(0,($B$11-G3))*MIN($B$2,$B$7)+MAX(0,N3-$B$11)*$B$4+MAX(0,N3-G3)*$B$3-IF($B$5="Yes",MAX(0,N3-G3)*$B$3*$B$2,0),0)</f>
        <v>0</v>
      </c>
      <c r="AJ3" s="10">
        <f t="shared" ref="AJ3:AJ34" si="2">AA3+AB3+AC3+AD3+AG3+AI3+AH3</f>
        <v>0</v>
      </c>
      <c r="AL3" s="2">
        <f t="shared" ref="AL3:AL34" si="3">Y3-AJ3</f>
        <v>0</v>
      </c>
    </row>
    <row r="4" spans="1:38" x14ac:dyDescent="0.25">
      <c r="A4" s="20" t="s">
        <v>4</v>
      </c>
      <c r="B4" s="21">
        <v>0.15</v>
      </c>
      <c r="D4" s="16">
        <v>1</v>
      </c>
      <c r="E4" s="8">
        <f>IF(D4&gt;$B$21,0,$B$11*(1+$B$13)^D4)</f>
        <v>316200</v>
      </c>
      <c r="F4" s="9">
        <f>IF(D4&gt;$B$21,0,G3-G4)</f>
        <v>9090.9090909091174</v>
      </c>
      <c r="G4" s="9">
        <f t="shared" ref="G4:G53" si="4">IF(D4&gt;$B$21,0,MAX($B$11-(D4*($B$11-$B$12)/$B$6),0))</f>
        <v>300909.09090909088</v>
      </c>
      <c r="H4" s="9">
        <f>IF(D4&gt;$B$21,0,IF(D4&gt;$B$10,0,PMT($B$9,$B$10,$B$11*(1-$B$8))))</f>
        <v>-19879.515738207858</v>
      </c>
      <c r="I4" s="9">
        <f>IF(D4&gt;$B$21,0,J3*$B$9)</f>
        <v>15112.5</v>
      </c>
      <c r="J4" s="9">
        <f>IF(D4&gt;$B$21,0,J3+H4+I4)</f>
        <v>305232.98426179215</v>
      </c>
      <c r="K4" s="9">
        <f>-IF(D4&gt;$B$21,0,$B$16*(1+$B$17)^(D4-1)+$B$19*(1+$B$20)^(D4-1))</f>
        <v>-2900</v>
      </c>
      <c r="L4" s="9">
        <f>-IF(D4&gt;$B$21,0,IF(AND($B$18="yes",J4/E4&gt;0.8),$J$3/100000*55*12,0))</f>
        <v>0</v>
      </c>
      <c r="M4" s="9">
        <f>-E4*$B$23</f>
        <v>-1897.2</v>
      </c>
      <c r="N4" s="10">
        <f>IF(D4=$B$21,E4*(1-$B$24),0)</f>
        <v>0</v>
      </c>
      <c r="O4" s="1"/>
      <c r="P4" s="8">
        <f>IF(D4&gt;$B$21,0,$B$14*12*(1+$B$15)^(D4-1))</f>
        <v>14400</v>
      </c>
      <c r="Q4" s="9">
        <f t="shared" si="0"/>
        <v>-19879.515738207858</v>
      </c>
      <c r="R4" s="9">
        <f>M4</f>
        <v>-1897.2</v>
      </c>
      <c r="S4" s="9">
        <f t="shared" ref="S4:S34" si="5">K4</f>
        <v>-2900</v>
      </c>
      <c r="T4" s="9">
        <f t="shared" ref="T4:T53" si="6">L4</f>
        <v>0</v>
      </c>
      <c r="U4" s="9">
        <f>I4-R4-T4</f>
        <v>17009.7</v>
      </c>
      <c r="V4" s="9">
        <f>IF($B$5="Yes",U4*($B$2+$B$3-$B$2*$B$3),0)</f>
        <v>5017.8615</v>
      </c>
      <c r="W4" s="9">
        <f>IF(D4=$B$21,N4-J4,0)</f>
        <v>0</v>
      </c>
      <c r="X4" s="9">
        <f>-IF(D4=$B$21,IF($B$5="Yes",MAX(N4-$B$11-$B$22,0)*($B$4+$B$3-$B$3*$B$2),MAX(N4-$B$11-$B$22,0)*($B$4+$B$3)),0)</f>
        <v>0</v>
      </c>
      <c r="Y4" s="10">
        <f>P4+Q4+R4+S4+V4+W4+X4</f>
        <v>-5258.8542382078585</v>
      </c>
      <c r="AA4" s="8">
        <f>IF(D4&gt;$B$21,0,$B$14*12*(1+$B$15)^(D4-1))</f>
        <v>14400</v>
      </c>
      <c r="AB4" s="9">
        <f t="shared" si="1"/>
        <v>-19879.515738207858</v>
      </c>
      <c r="AC4" s="9">
        <f t="shared" ref="AC4:AC53" si="7">M4</f>
        <v>-1897.2</v>
      </c>
      <c r="AD4" s="9">
        <f t="shared" ref="AD4:AD53" si="8">K4</f>
        <v>-2900</v>
      </c>
      <c r="AE4" s="9">
        <f t="shared" ref="AE4:AE53" si="9">L4</f>
        <v>0</v>
      </c>
      <c r="AF4" s="9">
        <f>F4+I4-AD4-AC4-AE4</f>
        <v>29000.609090909118</v>
      </c>
      <c r="AG4" s="9">
        <f t="shared" ref="AG4:AG53" si="10">-IF($B$5="Yes",(AA4-AF4)*($B$2+$B$3-$B$2*$B$3),(AA4-AF4)*($B$2+$B$3))</f>
        <v>4307.1796818181892</v>
      </c>
      <c r="AH4" s="9">
        <f>IF(D4=$B$21,N4-J4,0)</f>
        <v>0</v>
      </c>
      <c r="AI4" s="9">
        <f>-IF(D4=$B$21,MAX(0,($B$11-G4))*MIN($B$2,$B$7)+MAX(0,N4-$B$11)*$B$4+MAX(0,N4-G4)*$B$3-IF($B$5="Yes",MAX(0,N4-G4)*$B$3*$B$2,0),0)</f>
        <v>0</v>
      </c>
      <c r="AJ4" s="10">
        <f t="shared" si="2"/>
        <v>-5969.5360563896693</v>
      </c>
      <c r="AL4" s="2">
        <f t="shared" si="3"/>
        <v>710.68181818181074</v>
      </c>
    </row>
    <row r="5" spans="1:38" x14ac:dyDescent="0.25">
      <c r="A5" s="20" t="s">
        <v>51</v>
      </c>
      <c r="B5" s="22" t="s">
        <v>7</v>
      </c>
      <c r="D5" s="16">
        <v>2</v>
      </c>
      <c r="E5" s="8">
        <f>IF(D5&gt;$B$21,0,$B$11*(1+$B$13)^D5)</f>
        <v>322524</v>
      </c>
      <c r="F5" s="9">
        <f>IF(D5&gt;$B$21,0,G4-G5)</f>
        <v>9090.9090909090592</v>
      </c>
      <c r="G5" s="9">
        <f t="shared" si="4"/>
        <v>291818.18181818182</v>
      </c>
      <c r="H5" s="9">
        <f>IF(D5&gt;$B$21,0,IF(D5&gt;$B$10,0,PMT($B$9,$B$10,$B$11*(1-$B$8))))</f>
        <v>-19879.515738207858</v>
      </c>
      <c r="I5" s="9">
        <f>IF(D5&gt;$B$21,0,J4*$B$9)</f>
        <v>14880.107982762367</v>
      </c>
      <c r="J5" s="9">
        <f>IF(D5&gt;$B$21,0,J4+H5+I5)</f>
        <v>300233.5765063467</v>
      </c>
      <c r="K5" s="9">
        <f>-IF(D5&gt;$B$21,0,$B$16*(1+$B$17)^(D5-1)+$B$19*(1+$B$20)^(D5-1))</f>
        <v>-2987</v>
      </c>
      <c r="L5" s="9">
        <f>-IF(D5&gt;$B$21,0,IF(AND($B$18="yes",J5/E5&gt;0.8),$J$3/100000*55*12,0))</f>
        <v>0</v>
      </c>
      <c r="M5" s="9">
        <f>-E5*$B$23</f>
        <v>-1935.144</v>
      </c>
      <c r="N5" s="10">
        <f>IF(D5=$B$21,E5*(1-$B$24),0)</f>
        <v>0</v>
      </c>
      <c r="O5" s="1"/>
      <c r="P5" s="8">
        <f>IF(D5&gt;$B$21,0,$B$14*12*(1+$B$15)^(D5-1))</f>
        <v>14688</v>
      </c>
      <c r="Q5" s="9">
        <f t="shared" si="0"/>
        <v>-19879.515738207858</v>
      </c>
      <c r="R5" s="9">
        <f t="shared" ref="R5:R53" si="11">M5</f>
        <v>-1935.144</v>
      </c>
      <c r="S5" s="9">
        <f t="shared" si="5"/>
        <v>-2987</v>
      </c>
      <c r="T5" s="9">
        <f t="shared" si="6"/>
        <v>0</v>
      </c>
      <c r="U5" s="9">
        <f t="shared" ref="U5:U53" si="12">I5-R5-T5</f>
        <v>16815.251982762366</v>
      </c>
      <c r="V5" s="9">
        <f t="shared" ref="V5:V52" si="13">IF($B$5="Yes",U5*($B$2+$B$3-$B$2*$B$3),0)</f>
        <v>4960.4993349148972</v>
      </c>
      <c r="W5" s="9">
        <f>IF(D5=$B$21,N5-J5,0)</f>
        <v>0</v>
      </c>
      <c r="X5" s="9">
        <f>-IF(D5=$B$21,IF($B$5="Yes",MAX(N5-$B$11-$B$22,0)*($B$4+$B$3-$B$3*$B$2),MAX(N5-$B$11-$B$22,0)*($B$4+$B$3)),0)</f>
        <v>0</v>
      </c>
      <c r="Y5" s="10">
        <f t="shared" ref="Y5:Y53" si="14">P5+Q5+R5+S5+V5+W5+X5</f>
        <v>-5153.1604032929608</v>
      </c>
      <c r="AA5" s="8">
        <f>IF(D5&gt;$B$21,0,$B$14*12*(1+$B$15)^(D5-1))</f>
        <v>14688</v>
      </c>
      <c r="AB5" s="9">
        <f t="shared" si="1"/>
        <v>-19879.515738207858</v>
      </c>
      <c r="AC5" s="9">
        <f t="shared" si="7"/>
        <v>-1935.144</v>
      </c>
      <c r="AD5" s="9">
        <f t="shared" si="8"/>
        <v>-2987</v>
      </c>
      <c r="AE5" s="9">
        <f t="shared" si="9"/>
        <v>0</v>
      </c>
      <c r="AF5" s="9">
        <f t="shared" ref="AF5:AF53" si="15">F5+I5-AD5-AC5-AE5</f>
        <v>28893.161073671428</v>
      </c>
      <c r="AG5" s="9">
        <f t="shared" si="10"/>
        <v>4190.5225167330709</v>
      </c>
      <c r="AH5" s="9">
        <f>IF(D5=$B$21,N5-J5,0)</f>
        <v>0</v>
      </c>
      <c r="AI5" s="9">
        <f>-IF(D5=$B$21,MAX(0,($B$11-G5))*MIN($B$2,$B$7)+MAX(0,N5-$B$11)*$B$4+MAX(0,N5-G5)*$B$3-IF($B$5="Yes",MAX(0,N5-G5)*$B$3*$B$2,0),0)</f>
        <v>0</v>
      </c>
      <c r="AJ5" s="10">
        <f t="shared" si="2"/>
        <v>-5923.1372214747871</v>
      </c>
      <c r="AL5" s="2">
        <f t="shared" si="3"/>
        <v>769.97681818182627</v>
      </c>
    </row>
    <row r="6" spans="1:38" x14ac:dyDescent="0.25">
      <c r="A6" s="20" t="s">
        <v>0</v>
      </c>
      <c r="B6" s="23">
        <v>27.5</v>
      </c>
      <c r="D6" s="16">
        <v>3</v>
      </c>
      <c r="E6" s="8">
        <f>IF(D6&gt;$B$21,0,$B$11*(1+$B$13)^D6)</f>
        <v>328974.48</v>
      </c>
      <c r="F6" s="9">
        <f>IF(D6&gt;$B$21,0,G5-G6)</f>
        <v>9090.9090909091174</v>
      </c>
      <c r="G6" s="9">
        <f t="shared" si="4"/>
        <v>282727.27272727271</v>
      </c>
      <c r="H6" s="9">
        <f>IF(D6&gt;$B$21,0,IF(D6&gt;$B$10,0,PMT($B$9,$B$10,$B$11*(1-$B$8))))</f>
        <v>-19879.515738207858</v>
      </c>
      <c r="I6" s="9">
        <f>IF(D6&gt;$B$21,0,J5*$B$9)</f>
        <v>14636.386854684402</v>
      </c>
      <c r="J6" s="9">
        <f>IF(D6&gt;$B$21,0,J5+H6+I6)</f>
        <v>294990.44762282324</v>
      </c>
      <c r="K6" s="9">
        <f>-IF(D6&gt;$B$21,0,$B$16*(1+$B$17)^(D6-1)+$B$19*(1+$B$20)^(D6-1))</f>
        <v>-3076.6099999999997</v>
      </c>
      <c r="L6" s="9">
        <f>-IF(D6&gt;$B$21,0,IF(AND($B$18="yes",J6/E6&gt;0.8),$J$3/100000*55*12,0))</f>
        <v>0</v>
      </c>
      <c r="M6" s="9">
        <f>-E6*$B$23</f>
        <v>-1973.8468799999998</v>
      </c>
      <c r="N6" s="10">
        <f>IF(D6=$B$21,E6*(1-$B$24),0)</f>
        <v>0</v>
      </c>
      <c r="O6" s="1"/>
      <c r="P6" s="8">
        <f>IF(D6&gt;$B$21,0,$B$14*12*(1+$B$15)^(D6-1))</f>
        <v>14981.76</v>
      </c>
      <c r="Q6" s="9">
        <f t="shared" si="0"/>
        <v>-19879.515738207858</v>
      </c>
      <c r="R6" s="9">
        <f t="shared" si="11"/>
        <v>-1973.8468799999998</v>
      </c>
      <c r="S6" s="9">
        <f t="shared" si="5"/>
        <v>-3076.6099999999997</v>
      </c>
      <c r="T6" s="9">
        <f t="shared" si="6"/>
        <v>0</v>
      </c>
      <c r="U6" s="9">
        <f t="shared" si="12"/>
        <v>16610.233734684403</v>
      </c>
      <c r="V6" s="9">
        <f t="shared" si="13"/>
        <v>4900.0189517318986</v>
      </c>
      <c r="W6" s="9">
        <f>IF(D6=$B$21,N6-J6,0)</f>
        <v>0</v>
      </c>
      <c r="X6" s="9">
        <f>-IF(D6=$B$21,IF($B$5="Yes",MAX(N6-$B$11-$B$22,0)*($B$4+$B$3-$B$3*$B$2),MAX(N6-$B$11-$B$22,0)*($B$4+$B$3)),0)</f>
        <v>0</v>
      </c>
      <c r="Y6" s="10">
        <f t="shared" si="14"/>
        <v>-5048.1936664759587</v>
      </c>
      <c r="AA6" s="8">
        <f>IF(D6&gt;$B$21,0,$B$14*12*(1+$B$15)^(D6-1))</f>
        <v>14981.76</v>
      </c>
      <c r="AB6" s="9">
        <f t="shared" si="1"/>
        <v>-19879.515738207858</v>
      </c>
      <c r="AC6" s="9">
        <f t="shared" si="7"/>
        <v>-1973.8468799999998</v>
      </c>
      <c r="AD6" s="9">
        <f t="shared" si="8"/>
        <v>-3076.6099999999997</v>
      </c>
      <c r="AE6" s="9">
        <f t="shared" si="9"/>
        <v>0</v>
      </c>
      <c r="AF6" s="9">
        <f t="shared" si="15"/>
        <v>28777.752825593521</v>
      </c>
      <c r="AG6" s="9">
        <f t="shared" si="10"/>
        <v>4069.8178835500885</v>
      </c>
      <c r="AH6" s="9">
        <f>IF(D6=$B$21,N6-J6,0)</f>
        <v>0</v>
      </c>
      <c r="AI6" s="9">
        <f>-IF(D6=$B$21,MAX(0,($B$11-G6))*MIN($B$2,$B$7)+MAX(0,N6-$B$11)*$B$4+MAX(0,N6-G6)*$B$3-IF($B$5="Yes",MAX(0,N6-G6)*$B$3*$B$2,0),0)</f>
        <v>0</v>
      </c>
      <c r="AJ6" s="10">
        <f t="shared" si="2"/>
        <v>-5878.3947346577688</v>
      </c>
      <c r="AL6" s="2">
        <f t="shared" si="3"/>
        <v>830.20106818181011</v>
      </c>
    </row>
    <row r="7" spans="1:38" x14ac:dyDescent="0.25">
      <c r="A7" s="20" t="s">
        <v>41</v>
      </c>
      <c r="B7" s="21">
        <v>0.25</v>
      </c>
      <c r="D7" s="16">
        <v>4</v>
      </c>
      <c r="E7" s="8">
        <f>IF(D7&gt;$B$21,0,$B$11*(1+$B$13)^D7)</f>
        <v>335553.96960000001</v>
      </c>
      <c r="F7" s="9">
        <f>IF(D7&gt;$B$21,0,G6-G7)</f>
        <v>9090.9090909090592</v>
      </c>
      <c r="G7" s="9">
        <f t="shared" si="4"/>
        <v>273636.36363636365</v>
      </c>
      <c r="H7" s="9">
        <f>IF(D7&gt;$B$21,0,IF(D7&gt;$B$10,0,PMT($B$9,$B$10,$B$11*(1-$B$8))))</f>
        <v>-19879.515738207858</v>
      </c>
      <c r="I7" s="9">
        <f>IF(D7&gt;$B$21,0,J6*$B$9)</f>
        <v>14380.784321612633</v>
      </c>
      <c r="J7" s="9">
        <f>IF(D7&gt;$B$21,0,J6+H7+I7)</f>
        <v>289491.71620622801</v>
      </c>
      <c r="K7" s="9">
        <f>-IF(D7&gt;$B$21,0,$B$16*(1+$B$17)^(D7-1)+$B$19*(1+$B$20)^(D7-1))</f>
        <v>-3168.9083000000001</v>
      </c>
      <c r="L7" s="9">
        <f>-IF(D7&gt;$B$21,0,IF(AND($B$18="yes",J7/E7&gt;0.8),$J$3/100000*55*12,0))</f>
        <v>0</v>
      </c>
      <c r="M7" s="9">
        <f>-E7*$B$23</f>
        <v>-2013.3238176000002</v>
      </c>
      <c r="N7" s="10">
        <f>IF(D7=$B$21,E7*(1-$B$24),0)</f>
        <v>0</v>
      </c>
      <c r="O7" s="1"/>
      <c r="P7" s="8">
        <f>IF(D7&gt;$B$21,0,$B$14*12*(1+$B$15)^(D7-1))</f>
        <v>15281.395199999999</v>
      </c>
      <c r="Q7" s="9">
        <f t="shared" si="0"/>
        <v>-19879.515738207858</v>
      </c>
      <c r="R7" s="9">
        <f t="shared" si="11"/>
        <v>-2013.3238176000002</v>
      </c>
      <c r="S7" s="9">
        <f t="shared" si="5"/>
        <v>-3168.9083000000001</v>
      </c>
      <c r="T7" s="9">
        <f t="shared" si="6"/>
        <v>0</v>
      </c>
      <c r="U7" s="9">
        <f t="shared" si="12"/>
        <v>16394.108139212633</v>
      </c>
      <c r="V7" s="9">
        <f t="shared" si="13"/>
        <v>4836.2619010677263</v>
      </c>
      <c r="W7" s="9">
        <f>IF(D7=$B$21,N7-J7,0)</f>
        <v>0</v>
      </c>
      <c r="X7" s="9">
        <f>-IF(D7=$B$21,IF($B$5="Yes",MAX(N7-$B$11-$B$22,0)*($B$4+$B$3-$B$3*$B$2),MAX(N7-$B$11-$B$22,0)*($B$4+$B$3)),0)</f>
        <v>0</v>
      </c>
      <c r="Y7" s="10">
        <f t="shared" si="14"/>
        <v>-4944.090754740133</v>
      </c>
      <c r="AA7" s="8">
        <f>IF(D7&gt;$B$21,0,$B$14*12*(1+$B$15)^(D7-1))</f>
        <v>15281.395199999999</v>
      </c>
      <c r="AB7" s="9">
        <f t="shared" si="1"/>
        <v>-19879.515738207858</v>
      </c>
      <c r="AC7" s="9">
        <f t="shared" si="7"/>
        <v>-2013.3238176000002</v>
      </c>
      <c r="AD7" s="9">
        <f t="shared" si="8"/>
        <v>-3168.9083000000001</v>
      </c>
      <c r="AE7" s="9">
        <f t="shared" si="9"/>
        <v>0</v>
      </c>
      <c r="AF7" s="9">
        <f t="shared" si="15"/>
        <v>28653.925530121694</v>
      </c>
      <c r="AG7" s="9">
        <f t="shared" si="10"/>
        <v>3944.8964473859</v>
      </c>
      <c r="AH7" s="9">
        <f>IF(D7=$B$21,N7-J7,0)</f>
        <v>0</v>
      </c>
      <c r="AI7" s="9">
        <f>-IF(D7=$B$21,MAX(0,($B$11-G7))*MIN($B$2,$B$7)+MAX(0,N7-$B$11)*$B$4+MAX(0,N7-G7)*$B$3-IF($B$5="Yes",MAX(0,N7-G7)*$B$3*$B$2,0),0)</f>
        <v>0</v>
      </c>
      <c r="AJ7" s="10">
        <f t="shared" si="2"/>
        <v>-5835.4562084219597</v>
      </c>
      <c r="AL7" s="2">
        <f t="shared" si="3"/>
        <v>891.36545368182669</v>
      </c>
    </row>
    <row r="8" spans="1:38" x14ac:dyDescent="0.25">
      <c r="A8" s="20" t="s">
        <v>8</v>
      </c>
      <c r="B8" s="21">
        <v>0</v>
      </c>
      <c r="D8" s="16">
        <v>5</v>
      </c>
      <c r="E8" s="8">
        <f>IF(D8&gt;$B$21,0,$B$11*(1+$B$13)^D8)</f>
        <v>342265.048992</v>
      </c>
      <c r="F8" s="9">
        <f>IF(D8&gt;$B$21,0,G7-G8)</f>
        <v>9090.9090909091174</v>
      </c>
      <c r="G8" s="9">
        <f t="shared" si="4"/>
        <v>264545.45454545453</v>
      </c>
      <c r="H8" s="9">
        <f>IF(D8&gt;$B$21,0,IF(D8&gt;$B$10,0,PMT($B$9,$B$10,$B$11*(1-$B$8))))</f>
        <v>-19879.515738207858</v>
      </c>
      <c r="I8" s="9">
        <f>IF(D8&gt;$B$21,0,J7*$B$9)</f>
        <v>14112.721165053616</v>
      </c>
      <c r="J8" s="9">
        <f>IF(D8&gt;$B$21,0,J7+H8+I8)</f>
        <v>283724.92163307377</v>
      </c>
      <c r="K8" s="9">
        <f>-IF(D8&gt;$B$21,0,$B$16*(1+$B$17)^(D8-1)+$B$19*(1+$B$20)^(D8-1))</f>
        <v>-3263.9755489999998</v>
      </c>
      <c r="L8" s="9">
        <f>-IF(D8&gt;$B$21,0,IF(AND($B$18="yes",J8/E8&gt;0.8),$J$3/100000*55*12,0))</f>
        <v>0</v>
      </c>
      <c r="M8" s="9">
        <f>-E8*$B$23</f>
        <v>-2053.5902939520001</v>
      </c>
      <c r="N8" s="10">
        <f>IF(D8=$B$21,E8*(1-$B$24),0)</f>
        <v>0</v>
      </c>
      <c r="O8" s="1"/>
      <c r="P8" s="8">
        <f>IF(D8&gt;$B$21,0,$B$14*12*(1+$B$15)^(D8-1))</f>
        <v>15587.023104</v>
      </c>
      <c r="Q8" s="9">
        <f t="shared" si="0"/>
        <v>-19879.515738207858</v>
      </c>
      <c r="R8" s="9">
        <f t="shared" si="11"/>
        <v>-2053.5902939520001</v>
      </c>
      <c r="S8" s="9">
        <f t="shared" si="5"/>
        <v>-3263.9755489999998</v>
      </c>
      <c r="T8" s="9">
        <f t="shared" si="6"/>
        <v>0</v>
      </c>
      <c r="U8" s="9">
        <f t="shared" si="12"/>
        <v>16166.311459005616</v>
      </c>
      <c r="V8" s="9">
        <f t="shared" si="13"/>
        <v>4769.0618804066562</v>
      </c>
      <c r="W8" s="9">
        <f>IF(D8=$B$21,N8-J8,0)</f>
        <v>0</v>
      </c>
      <c r="X8" s="9">
        <f>-IF(D8=$B$21,IF($B$5="Yes",MAX(N8-$B$11-$B$22,0)*($B$4+$B$3-$B$3*$B$2),MAX(N8-$B$11-$B$22,0)*($B$4+$B$3)),0)</f>
        <v>0</v>
      </c>
      <c r="Y8" s="10">
        <f t="shared" si="14"/>
        <v>-4840.9965967532025</v>
      </c>
      <c r="AA8" s="8">
        <f>IF(D8&gt;$B$21,0,$B$14*12*(1+$B$15)^(D8-1))</f>
        <v>15587.023104</v>
      </c>
      <c r="AB8" s="9">
        <f t="shared" si="1"/>
        <v>-19879.515738207858</v>
      </c>
      <c r="AC8" s="9">
        <f t="shared" si="7"/>
        <v>-2053.5902939520001</v>
      </c>
      <c r="AD8" s="9">
        <f t="shared" si="8"/>
        <v>-3263.9755489999998</v>
      </c>
      <c r="AE8" s="9">
        <f t="shared" si="9"/>
        <v>0</v>
      </c>
      <c r="AF8" s="9">
        <f t="shared" si="15"/>
        <v>28521.196098914734</v>
      </c>
      <c r="AG8" s="9">
        <f t="shared" si="10"/>
        <v>3815.5810334998464</v>
      </c>
      <c r="AH8" s="9">
        <f>IF(D8=$B$21,N8-J8,0)</f>
        <v>0</v>
      </c>
      <c r="AI8" s="9">
        <f>-IF(D8=$B$21,MAX(0,($B$11-G8))*MIN($B$2,$B$7)+MAX(0,N8-$B$11)*$B$4+MAX(0,N8-G8)*$B$3-IF($B$5="Yes",MAX(0,N8-G8)*$B$3*$B$2,0),0)</f>
        <v>0</v>
      </c>
      <c r="AJ8" s="10">
        <f t="shared" si="2"/>
        <v>-5794.4774436600128</v>
      </c>
      <c r="AL8" s="2">
        <f t="shared" si="3"/>
        <v>953.48084690681026</v>
      </c>
    </row>
    <row r="9" spans="1:38" x14ac:dyDescent="0.25">
      <c r="A9" s="20" t="s">
        <v>1</v>
      </c>
      <c r="B9" s="21">
        <v>4.8750000000000002E-2</v>
      </c>
      <c r="D9" s="16">
        <v>6</v>
      </c>
      <c r="E9" s="8">
        <f>IF(D9&gt;$B$21,0,$B$11*(1+$B$13)^D9)</f>
        <v>349110.34997184004</v>
      </c>
      <c r="F9" s="9">
        <f>IF(D9&gt;$B$21,0,G8-G9)</f>
        <v>9090.9090909090592</v>
      </c>
      <c r="G9" s="9">
        <f t="shared" si="4"/>
        <v>255454.54545454547</v>
      </c>
      <c r="H9" s="9">
        <f>IF(D9&gt;$B$21,0,IF(D9&gt;$B$10,0,PMT($B$9,$B$10,$B$11*(1-$B$8))))</f>
        <v>-19879.515738207858</v>
      </c>
      <c r="I9" s="9">
        <f>IF(D9&gt;$B$21,0,J8*$B$9)</f>
        <v>13831.589929612346</v>
      </c>
      <c r="J9" s="9">
        <f>IF(D9&gt;$B$21,0,J8+H9+I9)</f>
        <v>277676.99582447828</v>
      </c>
      <c r="K9" s="9">
        <f>-IF(D9&gt;$B$21,0,$B$16*(1+$B$17)^(D9-1)+$B$19*(1+$B$20)^(D9-1))</f>
        <v>-3361.8948154699997</v>
      </c>
      <c r="L9" s="9">
        <f>-IF(D9&gt;$B$21,0,IF(AND($B$18="yes",J9/E9&gt;0.8),$J$3/100000*55*12,0))</f>
        <v>0</v>
      </c>
      <c r="M9" s="9">
        <f>-E9*$B$23</f>
        <v>-2094.6620998310405</v>
      </c>
      <c r="N9" s="10">
        <f>IF(D9=$B$21,E9*(1-$B$24),0)</f>
        <v>0</v>
      </c>
      <c r="O9" s="1"/>
      <c r="P9" s="8">
        <f>IF(D9&gt;$B$21,0,$B$14*12*(1+$B$15)^(D9-1))</f>
        <v>15898.763566080001</v>
      </c>
      <c r="Q9" s="9">
        <f t="shared" si="0"/>
        <v>-19879.515738207858</v>
      </c>
      <c r="R9" s="9">
        <f t="shared" si="11"/>
        <v>-2094.6620998310405</v>
      </c>
      <c r="S9" s="9">
        <f t="shared" si="5"/>
        <v>-3361.8948154699997</v>
      </c>
      <c r="T9" s="9">
        <f t="shared" si="6"/>
        <v>0</v>
      </c>
      <c r="U9" s="9">
        <f t="shared" si="12"/>
        <v>15926.252029443387</v>
      </c>
      <c r="V9" s="9">
        <f t="shared" si="13"/>
        <v>4698.2443486857992</v>
      </c>
      <c r="W9" s="9">
        <f>IF(D9=$B$21,N9-J9,0)</f>
        <v>0</v>
      </c>
      <c r="X9" s="9">
        <f>-IF(D9=$B$21,IF($B$5="Yes",MAX(N9-$B$11-$B$22,0)*($B$4+$B$3-$B$3*$B$2),MAX(N9-$B$11-$B$22,0)*($B$4+$B$3)),0)</f>
        <v>0</v>
      </c>
      <c r="Y9" s="10">
        <f t="shared" si="14"/>
        <v>-4739.0647387430981</v>
      </c>
      <c r="AA9" s="8">
        <f>IF(D9&gt;$B$21,0,$B$14*12*(1+$B$15)^(D9-1))</f>
        <v>15898.763566080001</v>
      </c>
      <c r="AB9" s="9">
        <f t="shared" si="1"/>
        <v>-19879.515738207858</v>
      </c>
      <c r="AC9" s="9">
        <f t="shared" si="7"/>
        <v>-2094.6620998310405</v>
      </c>
      <c r="AD9" s="9">
        <f t="shared" si="8"/>
        <v>-3361.8948154699997</v>
      </c>
      <c r="AE9" s="9">
        <f t="shared" si="9"/>
        <v>0</v>
      </c>
      <c r="AF9" s="9">
        <f t="shared" si="15"/>
        <v>28379.055935822445</v>
      </c>
      <c r="AG9" s="9">
        <f t="shared" si="10"/>
        <v>3681.6862490740209</v>
      </c>
      <c r="AH9" s="9">
        <f>IF(D9=$B$21,N9-J9,0)</f>
        <v>0</v>
      </c>
      <c r="AI9" s="9">
        <f>-IF(D9=$B$21,MAX(0,($B$11-G9))*MIN($B$2,$B$7)+MAX(0,N9-$B$11)*$B$4+MAX(0,N9-G9)*$B$3-IF($B$5="Yes",MAX(0,N9-G9)*$B$3*$B$2,0),0)</f>
        <v>0</v>
      </c>
      <c r="AJ9" s="10">
        <f t="shared" si="2"/>
        <v>-5755.6228383548769</v>
      </c>
      <c r="AL9" s="2">
        <f t="shared" si="3"/>
        <v>1016.5580996117787</v>
      </c>
    </row>
    <row r="10" spans="1:38" x14ac:dyDescent="0.25">
      <c r="A10" s="20" t="s">
        <v>2</v>
      </c>
      <c r="B10" s="23">
        <v>30</v>
      </c>
      <c r="D10" s="16">
        <v>7</v>
      </c>
      <c r="E10" s="8">
        <f>IF(D10&gt;$B$21,0,$B$11*(1+$B$13)^D10)</f>
        <v>356092.55697127676</v>
      </c>
      <c r="F10" s="9">
        <f>IF(D10&gt;$B$21,0,G9-G10)</f>
        <v>9090.9090909091174</v>
      </c>
      <c r="G10" s="9">
        <f t="shared" si="4"/>
        <v>246363.63636363635</v>
      </c>
      <c r="H10" s="9">
        <f>IF(D10&gt;$B$21,0,IF(D10&gt;$B$10,0,PMT($B$9,$B$10,$B$11*(1-$B$8))))</f>
        <v>-19879.515738207858</v>
      </c>
      <c r="I10" s="9">
        <f>IF(D10&gt;$B$21,0,J9*$B$9)</f>
        <v>13536.753546443317</v>
      </c>
      <c r="J10" s="9">
        <f>IF(D10&gt;$B$21,0,J9+H10+I10)</f>
        <v>271334.23363271373</v>
      </c>
      <c r="K10" s="9">
        <f>-IF(D10&gt;$B$21,0,$B$16*(1+$B$17)^(D10-1)+$B$19*(1+$B$20)^(D10-1))</f>
        <v>-3462.7516599340997</v>
      </c>
      <c r="L10" s="9">
        <f>-IF(D10&gt;$B$21,0,IF(AND($B$18="yes",J10/E10&gt;0.8),$J$3/100000*55*12,0))</f>
        <v>0</v>
      </c>
      <c r="M10" s="9">
        <f>-E10*$B$23</f>
        <v>-2136.5553418276604</v>
      </c>
      <c r="N10" s="10">
        <f>IF(D10=$B$21,E10*(1-$B$24),0)</f>
        <v>0</v>
      </c>
      <c r="O10" s="1"/>
      <c r="P10" s="8">
        <f>IF(D10&gt;$B$21,0,$B$14*12*(1+$B$15)^(D10-1))</f>
        <v>16216.738837401601</v>
      </c>
      <c r="Q10" s="9">
        <f t="shared" si="0"/>
        <v>-19879.515738207858</v>
      </c>
      <c r="R10" s="9">
        <f t="shared" si="11"/>
        <v>-2136.5553418276604</v>
      </c>
      <c r="S10" s="9">
        <f t="shared" si="5"/>
        <v>-3462.7516599340997</v>
      </c>
      <c r="T10" s="9">
        <f t="shared" si="6"/>
        <v>0</v>
      </c>
      <c r="U10" s="9">
        <f t="shared" si="12"/>
        <v>15673.308888270978</v>
      </c>
      <c r="V10" s="9">
        <f t="shared" si="13"/>
        <v>4623.6261220399383</v>
      </c>
      <c r="W10" s="9">
        <f>IF(D10=$B$21,N10-J10,0)</f>
        <v>0</v>
      </c>
      <c r="X10" s="9">
        <f>-IF(D10=$B$21,IF($B$5="Yes",MAX(N10-$B$11-$B$22,0)*($B$4+$B$3-$B$3*$B$2),MAX(N10-$B$11-$B$22,0)*($B$4+$B$3)),0)</f>
        <v>0</v>
      </c>
      <c r="Y10" s="10">
        <f t="shared" si="14"/>
        <v>-4638.4577805280796</v>
      </c>
      <c r="AA10" s="8">
        <f>IF(D10&gt;$B$21,0,$B$14*12*(1+$B$15)^(D10-1))</f>
        <v>16216.738837401601</v>
      </c>
      <c r="AB10" s="9">
        <f t="shared" si="1"/>
        <v>-19879.515738207858</v>
      </c>
      <c r="AC10" s="9">
        <f t="shared" si="7"/>
        <v>-2136.5553418276604</v>
      </c>
      <c r="AD10" s="9">
        <f t="shared" si="8"/>
        <v>-3462.7516599340997</v>
      </c>
      <c r="AE10" s="9">
        <f t="shared" si="9"/>
        <v>0</v>
      </c>
      <c r="AF10" s="9">
        <f t="shared" si="15"/>
        <v>28226.969639114195</v>
      </c>
      <c r="AG10" s="9">
        <f t="shared" si="10"/>
        <v>3543.0180865052153</v>
      </c>
      <c r="AH10" s="9">
        <f>IF(D10=$B$21,N10-J10,0)</f>
        <v>0</v>
      </c>
      <c r="AI10" s="9">
        <f>-IF(D10=$B$21,MAX(0,($B$11-G10))*MIN($B$2,$B$7)+MAX(0,N10-$B$11)*$B$4+MAX(0,N10-G10)*$B$3-IF($B$5="Yes",MAX(0,N10-G10)*$B$3*$B$2,0),0)</f>
        <v>0</v>
      </c>
      <c r="AJ10" s="10">
        <f t="shared" si="2"/>
        <v>-5719.0658160628027</v>
      </c>
      <c r="AL10" s="2">
        <f t="shared" si="3"/>
        <v>1080.6080355347231</v>
      </c>
    </row>
    <row r="11" spans="1:38" x14ac:dyDescent="0.25">
      <c r="A11" s="20" t="s">
        <v>3</v>
      </c>
      <c r="B11" s="24">
        <v>310000</v>
      </c>
      <c r="D11" s="16">
        <v>8</v>
      </c>
      <c r="E11" s="8">
        <f>IF(D11&gt;$B$21,0,$B$11*(1+$B$13)^D11)</f>
        <v>363214.40811070229</v>
      </c>
      <c r="F11" s="9">
        <f>IF(D11&gt;$B$21,0,G10-G11)</f>
        <v>9090.9090909090592</v>
      </c>
      <c r="G11" s="9">
        <f t="shared" si="4"/>
        <v>237272.72727272729</v>
      </c>
      <c r="H11" s="9">
        <f>IF(D11&gt;$B$21,0,IF(D11&gt;$B$10,0,PMT($B$9,$B$10,$B$11*(1-$B$8))))</f>
        <v>-19879.515738207858</v>
      </c>
      <c r="I11" s="9">
        <f>IF(D11&gt;$B$21,0,J10*$B$9)</f>
        <v>13227.543889594795</v>
      </c>
      <c r="J11" s="9">
        <f>IF(D11&gt;$B$21,0,J10+H11+I11)</f>
        <v>264682.26178410067</v>
      </c>
      <c r="K11" s="9">
        <f>-IF(D11&gt;$B$21,0,$B$16*(1+$B$17)^(D11-1)+$B$19*(1+$B$20)^(D11-1))</f>
        <v>-3566.6342097321231</v>
      </c>
      <c r="L11" s="9">
        <f>-IF(D11&gt;$B$21,0,IF(AND($B$18="yes",J11/E11&gt;0.8),$J$3/100000*55*12,0))</f>
        <v>0</v>
      </c>
      <c r="M11" s="9">
        <f>-E11*$B$23</f>
        <v>-2179.2864486642138</v>
      </c>
      <c r="N11" s="10">
        <f>IF(D11=$B$21,E11*(1-$B$24),0)</f>
        <v>0</v>
      </c>
      <c r="O11" s="1"/>
      <c r="P11" s="8">
        <f>IF(D11&gt;$B$21,0,$B$14*12*(1+$B$15)^(D11-1))</f>
        <v>16541.073614149631</v>
      </c>
      <c r="Q11" s="9">
        <f t="shared" si="0"/>
        <v>-19879.515738207858</v>
      </c>
      <c r="R11" s="9">
        <f t="shared" si="11"/>
        <v>-2179.2864486642138</v>
      </c>
      <c r="S11" s="9">
        <f t="shared" si="5"/>
        <v>-3566.6342097321231</v>
      </c>
      <c r="T11" s="9">
        <f t="shared" si="6"/>
        <v>0</v>
      </c>
      <c r="U11" s="9">
        <f t="shared" si="12"/>
        <v>15406.830338259009</v>
      </c>
      <c r="V11" s="9">
        <f t="shared" si="13"/>
        <v>4545.0149497864077</v>
      </c>
      <c r="W11" s="9">
        <f>IF(D11=$B$21,N11-J11,0)</f>
        <v>0</v>
      </c>
      <c r="X11" s="9">
        <f>-IF(D11=$B$21,IF($B$5="Yes",MAX(N11-$B$11-$B$22,0)*($B$4+$B$3-$B$3*$B$2),MAX(N11-$B$11-$B$22,0)*($B$4+$B$3)),0)</f>
        <v>0</v>
      </c>
      <c r="Y11" s="10">
        <f t="shared" si="14"/>
        <v>-4539.3478326681561</v>
      </c>
      <c r="AA11" s="8">
        <f>IF(D11&gt;$B$21,0,$B$14*12*(1+$B$15)^(D11-1))</f>
        <v>16541.073614149631</v>
      </c>
      <c r="AB11" s="9">
        <f t="shared" si="1"/>
        <v>-19879.515738207858</v>
      </c>
      <c r="AC11" s="9">
        <f t="shared" si="7"/>
        <v>-2179.2864486642138</v>
      </c>
      <c r="AD11" s="9">
        <f t="shared" si="8"/>
        <v>-3566.6342097321231</v>
      </c>
      <c r="AE11" s="9">
        <f t="shared" si="9"/>
        <v>0</v>
      </c>
      <c r="AF11" s="9">
        <f t="shared" si="15"/>
        <v>28064.373638900193</v>
      </c>
      <c r="AG11" s="9">
        <f t="shared" si="10"/>
        <v>3399.3735073014159</v>
      </c>
      <c r="AH11" s="9">
        <f>IF(D11=$B$21,N11-J11,0)</f>
        <v>0</v>
      </c>
      <c r="AI11" s="9">
        <f>-IF(D11=$B$21,MAX(0,($B$11-G11))*MIN($B$2,$B$7)+MAX(0,N11-$B$11)*$B$4+MAX(0,N11-G11)*$B$3-IF($B$5="Yes",MAX(0,N11-G11)*$B$3*$B$2,0),0)</f>
        <v>0</v>
      </c>
      <c r="AJ11" s="10">
        <f t="shared" si="2"/>
        <v>-5684.9892751531479</v>
      </c>
      <c r="AL11" s="2">
        <f t="shared" si="3"/>
        <v>1145.6414424849918</v>
      </c>
    </row>
    <row r="12" spans="1:38" x14ac:dyDescent="0.25">
      <c r="A12" s="20" t="s">
        <v>54</v>
      </c>
      <c r="B12" s="24">
        <v>60000</v>
      </c>
      <c r="D12" s="16">
        <v>9</v>
      </c>
      <c r="E12" s="8">
        <f>IF(D12&gt;$B$21,0,$B$11*(1+$B$13)^D12)</f>
        <v>370478.69627291634</v>
      </c>
      <c r="F12" s="9">
        <f>IF(D12&gt;$B$21,0,G11-G12)</f>
        <v>9090.9090909091174</v>
      </c>
      <c r="G12" s="9">
        <f t="shared" si="4"/>
        <v>228181.81818181818</v>
      </c>
      <c r="H12" s="9">
        <f>IF(D12&gt;$B$21,0,IF(D12&gt;$B$10,0,PMT($B$9,$B$10,$B$11*(1-$B$8))))</f>
        <v>-19879.515738207858</v>
      </c>
      <c r="I12" s="9">
        <f>IF(D12&gt;$B$21,0,J11*$B$9)</f>
        <v>12903.260261974909</v>
      </c>
      <c r="J12" s="9">
        <f>IF(D12&gt;$B$21,0,J11+H12+I12)</f>
        <v>257706.00630786773</v>
      </c>
      <c r="K12" s="9">
        <f>-IF(D12&gt;$B$21,0,$B$16*(1+$B$17)^(D12-1)+$B$19*(1+$B$20)^(D12-1))</f>
        <v>-3673.6332360240858</v>
      </c>
      <c r="L12" s="9">
        <f>-IF(D12&gt;$B$21,0,IF(AND($B$18="yes",J12/E12&gt;0.8),$J$3/100000*55*12,0))</f>
        <v>0</v>
      </c>
      <c r="M12" s="9">
        <f>-E12*$B$23</f>
        <v>-2222.8721776374982</v>
      </c>
      <c r="N12" s="10">
        <f>IF(D12=$B$21,E12*(1-$B$24),0)</f>
        <v>0</v>
      </c>
      <c r="O12" s="1"/>
      <c r="P12" s="8">
        <f>IF(D12&gt;$B$21,0,$B$14*12*(1+$B$15)^(D12-1))</f>
        <v>16871.895086432625</v>
      </c>
      <c r="Q12" s="9">
        <f t="shared" si="0"/>
        <v>-19879.515738207858</v>
      </c>
      <c r="R12" s="9">
        <f t="shared" si="11"/>
        <v>-2222.8721776374982</v>
      </c>
      <c r="S12" s="9">
        <f t="shared" si="5"/>
        <v>-3673.6332360240858</v>
      </c>
      <c r="T12" s="9">
        <f t="shared" si="6"/>
        <v>0</v>
      </c>
      <c r="U12" s="9">
        <f t="shared" si="12"/>
        <v>15126.132439612407</v>
      </c>
      <c r="V12" s="9">
        <f t="shared" si="13"/>
        <v>4462.2090696856603</v>
      </c>
      <c r="W12" s="9">
        <f>IF(D12=$B$21,N12-J12,0)</f>
        <v>0</v>
      </c>
      <c r="X12" s="9">
        <f>-IF(D12=$B$21,IF($B$5="Yes",MAX(N12-$B$11-$B$22,0)*($B$4+$B$3-$B$3*$B$2),MAX(N12-$B$11-$B$22,0)*($B$4+$B$3)),0)</f>
        <v>0</v>
      </c>
      <c r="Y12" s="10">
        <f t="shared" si="14"/>
        <v>-4441.9169957511558</v>
      </c>
      <c r="AA12" s="8">
        <f>IF(D12&gt;$B$21,0,$B$14*12*(1+$B$15)^(D12-1))</f>
        <v>16871.895086432625</v>
      </c>
      <c r="AB12" s="9">
        <f t="shared" si="1"/>
        <v>-19879.515738207858</v>
      </c>
      <c r="AC12" s="9">
        <f t="shared" si="7"/>
        <v>-2222.8721776374982</v>
      </c>
      <c r="AD12" s="9">
        <f t="shared" si="8"/>
        <v>-3673.6332360240858</v>
      </c>
      <c r="AE12" s="9">
        <f t="shared" si="9"/>
        <v>0</v>
      </c>
      <c r="AF12" s="9">
        <f t="shared" si="15"/>
        <v>27890.67476654561</v>
      </c>
      <c r="AG12" s="9">
        <f t="shared" si="10"/>
        <v>3250.5400056333301</v>
      </c>
      <c r="AH12" s="9">
        <f>IF(D12=$B$21,N12-J12,0)</f>
        <v>0</v>
      </c>
      <c r="AI12" s="9">
        <f>-IF(D12=$B$21,MAX(0,($B$11-G12))*MIN($B$2,$B$7)+MAX(0,N12-$B$11)*$B$4+MAX(0,N12-G12)*$B$3-IF($B$5="Yes",MAX(0,N12-G12)*$B$3*$B$2,0),0)</f>
        <v>0</v>
      </c>
      <c r="AJ12" s="10">
        <f t="shared" si="2"/>
        <v>-5653.586059803486</v>
      </c>
      <c r="AL12" s="2">
        <f t="shared" si="3"/>
        <v>1211.6690640523302</v>
      </c>
    </row>
    <row r="13" spans="1:38" x14ac:dyDescent="0.25">
      <c r="A13" s="20" t="s">
        <v>30</v>
      </c>
      <c r="B13" s="21">
        <v>0.02</v>
      </c>
      <c r="D13" s="16">
        <v>10</v>
      </c>
      <c r="E13" s="8">
        <f>IF(D13&gt;$B$21,0,$B$11*(1+$B$13)^D13)</f>
        <v>377888.2701983747</v>
      </c>
      <c r="F13" s="9">
        <f>IF(D13&gt;$B$21,0,G12-G13)</f>
        <v>9090.9090909090883</v>
      </c>
      <c r="G13" s="9">
        <f t="shared" si="4"/>
        <v>219090.90909090909</v>
      </c>
      <c r="H13" s="9">
        <f>IF(D13&gt;$B$21,0,IF(D13&gt;$B$10,0,PMT($B$9,$B$10,$B$11*(1-$B$8))))</f>
        <v>-19879.515738207858</v>
      </c>
      <c r="I13" s="9">
        <f>IF(D13&gt;$B$21,0,J12*$B$9)</f>
        <v>12563.167807508553</v>
      </c>
      <c r="J13" s="9">
        <f>IF(D13&gt;$B$21,0,J12+H13+I13)</f>
        <v>250389.65837716844</v>
      </c>
      <c r="K13" s="9">
        <f>-IF(D13&gt;$B$21,0,$B$16*(1+$B$17)^(D13-1)+$B$19*(1+$B$20)^(D13-1))</f>
        <v>-3783.8422331048091</v>
      </c>
      <c r="L13" s="9">
        <f>-IF(D13&gt;$B$21,0,IF(AND($B$18="yes",J13/E13&gt;0.8),$J$3/100000*55*12,0))</f>
        <v>0</v>
      </c>
      <c r="M13" s="9">
        <f>-E13*$B$23</f>
        <v>-2267.3296211902484</v>
      </c>
      <c r="N13" s="10">
        <f>IF(D13=$B$21,E13*(1-$B$24),0)</f>
        <v>0</v>
      </c>
      <c r="O13" s="1"/>
      <c r="P13" s="8">
        <f>IF(D13&gt;$B$21,0,$B$14*12*(1+$B$15)^(D13-1))</f>
        <v>17209.332988161277</v>
      </c>
      <c r="Q13" s="9">
        <f t="shared" si="0"/>
        <v>-19879.515738207858</v>
      </c>
      <c r="R13" s="9">
        <f t="shared" si="11"/>
        <v>-2267.3296211902484</v>
      </c>
      <c r="S13" s="9">
        <f t="shared" si="5"/>
        <v>-3783.8422331048091</v>
      </c>
      <c r="T13" s="9">
        <f t="shared" si="6"/>
        <v>0</v>
      </c>
      <c r="U13" s="9">
        <f t="shared" si="12"/>
        <v>14830.497428698802</v>
      </c>
      <c r="V13" s="9">
        <f t="shared" si="13"/>
        <v>4374.996741466146</v>
      </c>
      <c r="W13" s="9">
        <f>IF(D13=$B$21,N13-J13,0)</f>
        <v>0</v>
      </c>
      <c r="X13" s="9">
        <f>-IF(D13=$B$21,IF($B$5="Yes",MAX(N13-$B$11-$B$22,0)*($B$4+$B$3-$B$3*$B$2),MAX(N13-$B$11-$B$22,0)*($B$4+$B$3)),0)</f>
        <v>0</v>
      </c>
      <c r="Y13" s="10">
        <f t="shared" si="14"/>
        <v>-4346.3578628754931</v>
      </c>
      <c r="AA13" s="8">
        <f>IF(D13&gt;$B$21,0,$B$14*12*(1+$B$15)^(D13-1))</f>
        <v>17209.332988161277</v>
      </c>
      <c r="AB13" s="9">
        <f t="shared" si="1"/>
        <v>-19879.515738207858</v>
      </c>
      <c r="AC13" s="9">
        <f t="shared" si="7"/>
        <v>-2267.3296211902484</v>
      </c>
      <c r="AD13" s="9">
        <f t="shared" si="8"/>
        <v>-3783.8422331048091</v>
      </c>
      <c r="AE13" s="9">
        <f t="shared" si="9"/>
        <v>0</v>
      </c>
      <c r="AF13" s="9">
        <f t="shared" si="15"/>
        <v>27705.248752712698</v>
      </c>
      <c r="AG13" s="9">
        <f t="shared" si="10"/>
        <v>3096.295150542669</v>
      </c>
      <c r="AH13" s="9">
        <f>IF(D13=$B$21,N13-J13,0)</f>
        <v>0</v>
      </c>
      <c r="AI13" s="9">
        <f>-IF(D13=$B$21,MAX(0,($B$11-G13))*MIN($B$2,$B$7)+MAX(0,N13-$B$11)*$B$4+MAX(0,N13-G13)*$B$3-IF($B$5="Yes",MAX(0,N13-G13)*$B$3*$B$2,0),0)</f>
        <v>0</v>
      </c>
      <c r="AJ13" s="10">
        <f t="shared" si="2"/>
        <v>-5625.05945379897</v>
      </c>
      <c r="AL13" s="2">
        <f t="shared" si="3"/>
        <v>1278.7015909234769</v>
      </c>
    </row>
    <row r="14" spans="1:38" x14ac:dyDescent="0.25">
      <c r="A14" s="20" t="s">
        <v>9</v>
      </c>
      <c r="B14" s="24">
        <v>1200</v>
      </c>
      <c r="D14" s="16">
        <v>11</v>
      </c>
      <c r="E14" s="8">
        <f>IF(D14&gt;$B$21,0,$B$11*(1+$B$13)^D14)</f>
        <v>385446.0356023421</v>
      </c>
      <c r="F14" s="9">
        <f>IF(D14&gt;$B$21,0,G13-G14)</f>
        <v>9090.9090909090883</v>
      </c>
      <c r="G14" s="9">
        <f t="shared" si="4"/>
        <v>210000</v>
      </c>
      <c r="H14" s="9">
        <f>IF(D14&gt;$B$21,0,IF(D14&gt;$B$10,0,PMT($B$9,$B$10,$B$11*(1-$B$8))))</f>
        <v>-19879.515738207858</v>
      </c>
      <c r="I14" s="9">
        <f>IF(D14&gt;$B$21,0,J13*$B$9)</f>
        <v>12206.495845886962</v>
      </c>
      <c r="J14" s="9">
        <f>IF(D14&gt;$B$21,0,J13+H14+I14)</f>
        <v>242716.63848484756</v>
      </c>
      <c r="K14" s="9">
        <f>-IF(D14&gt;$B$21,0,$B$16*(1+$B$17)^(D14-1)+$B$19*(1+$B$20)^(D14-1))</f>
        <v>-3897.3575000979536</v>
      </c>
      <c r="L14" s="9">
        <f>-IF(D14&gt;$B$21,0,IF(AND($B$18="yes",J14/E14&gt;0.8),$J$3/100000*55*12,0))</f>
        <v>0</v>
      </c>
      <c r="M14" s="9">
        <f>-E14*$B$23</f>
        <v>-2312.6762136140528</v>
      </c>
      <c r="N14" s="10">
        <f>IF(D14=$B$21,E14*(1-$B$24),0)</f>
        <v>0</v>
      </c>
      <c r="O14" s="1"/>
      <c r="P14" s="8">
        <f>IF(D14&gt;$B$21,0,$B$14*12*(1+$B$15)^(D14-1))</f>
        <v>17553.519647924502</v>
      </c>
      <c r="Q14" s="9">
        <f t="shared" si="0"/>
        <v>-19879.515738207858</v>
      </c>
      <c r="R14" s="9">
        <f t="shared" si="11"/>
        <v>-2312.6762136140528</v>
      </c>
      <c r="S14" s="9">
        <f t="shared" si="5"/>
        <v>-3897.3575000979536</v>
      </c>
      <c r="T14" s="9">
        <f t="shared" si="6"/>
        <v>0</v>
      </c>
      <c r="U14" s="9">
        <f t="shared" si="12"/>
        <v>14519.172059501016</v>
      </c>
      <c r="V14" s="9">
        <f t="shared" si="13"/>
        <v>4283.1557575527995</v>
      </c>
      <c r="W14" s="9">
        <f>IF(D14=$B$21,N14-J14,0)</f>
        <v>0</v>
      </c>
      <c r="X14" s="9">
        <f>-IF(D14=$B$21,IF($B$5="Yes",MAX(N14-$B$11-$B$22,0)*($B$4+$B$3-$B$3*$B$2),MAX(N14-$B$11-$B$22,0)*($B$4+$B$3)),0)</f>
        <v>0</v>
      </c>
      <c r="Y14" s="10">
        <f t="shared" si="14"/>
        <v>-4252.8740464425637</v>
      </c>
      <c r="AA14" s="8">
        <f>IF(D14&gt;$B$21,0,$B$14*12*(1+$B$15)^(D14-1))</f>
        <v>17553.519647924502</v>
      </c>
      <c r="AB14" s="9">
        <f t="shared" si="1"/>
        <v>-19879.515738207858</v>
      </c>
      <c r="AC14" s="9">
        <f t="shared" si="7"/>
        <v>-2312.6762136140528</v>
      </c>
      <c r="AD14" s="9">
        <f t="shared" si="8"/>
        <v>-3897.3575000979536</v>
      </c>
      <c r="AE14" s="9">
        <f t="shared" si="9"/>
        <v>0</v>
      </c>
      <c r="AF14" s="9">
        <f t="shared" si="15"/>
        <v>27507.438650508058</v>
      </c>
      <c r="AG14" s="9">
        <f t="shared" si="10"/>
        <v>2936.4061057621489</v>
      </c>
      <c r="AH14" s="9">
        <f>IF(D14=$B$21,N14-J14,0)</f>
        <v>0</v>
      </c>
      <c r="AI14" s="9">
        <f>-IF(D14=$B$21,MAX(0,($B$11-G14))*MIN($B$2,$B$7)+MAX(0,N14-$B$11)*$B$4+MAX(0,N14-G14)*$B$3-IF($B$5="Yes",MAX(0,N14-G14)*$B$3*$B$2,0),0)</f>
        <v>0</v>
      </c>
      <c r="AJ14" s="10">
        <f t="shared" si="2"/>
        <v>-5599.6236982332139</v>
      </c>
      <c r="AL14" s="2">
        <f t="shared" si="3"/>
        <v>1346.7496517906502</v>
      </c>
    </row>
    <row r="15" spans="1:38" x14ac:dyDescent="0.25">
      <c r="A15" s="20" t="s">
        <v>29</v>
      </c>
      <c r="B15" s="21">
        <v>0.02</v>
      </c>
      <c r="D15" s="16">
        <v>12</v>
      </c>
      <c r="E15" s="8">
        <f>IF(D15&gt;$B$21,0,$B$11*(1+$B$13)^D15)</f>
        <v>393154.95631438901</v>
      </c>
      <c r="F15" s="9">
        <f>IF(D15&gt;$B$21,0,G14-G15)</f>
        <v>9090.9090909090883</v>
      </c>
      <c r="G15" s="9">
        <f t="shared" si="4"/>
        <v>200909.09090909091</v>
      </c>
      <c r="H15" s="9">
        <f>IF(D15&gt;$B$21,0,IF(D15&gt;$B$10,0,PMT($B$9,$B$10,$B$11*(1-$B$8))))</f>
        <v>-19879.515738207858</v>
      </c>
      <c r="I15" s="9">
        <f>IF(D15&gt;$B$21,0,J14*$B$9)</f>
        <v>11832.436126136319</v>
      </c>
      <c r="J15" s="9">
        <f>IF(D15&gt;$B$21,0,J14+H15+I15)</f>
        <v>234669.55887277602</v>
      </c>
      <c r="K15" s="9">
        <f>-IF(D15&gt;$B$21,0,$B$16*(1+$B$17)^(D15-1)+$B$19*(1+$B$20)^(D15-1))</f>
        <v>-4014.2782251008921</v>
      </c>
      <c r="L15" s="9">
        <f>-IF(D15&gt;$B$21,0,IF(AND($B$18="yes",J15/E15&gt;0.8),$J$3/100000*55*12,0))</f>
        <v>0</v>
      </c>
      <c r="M15" s="9">
        <f>-E15*$B$23</f>
        <v>-2358.9297378863339</v>
      </c>
      <c r="N15" s="10">
        <f>IF(D15=$B$21,E15*(1-$B$24),0)</f>
        <v>0</v>
      </c>
      <c r="O15" s="1"/>
      <c r="P15" s="8">
        <f>IF(D15&gt;$B$21,0,$B$14*12*(1+$B$15)^(D15-1))</f>
        <v>17904.590040882988</v>
      </c>
      <c r="Q15" s="9">
        <f t="shared" si="0"/>
        <v>-19879.515738207858</v>
      </c>
      <c r="R15" s="9">
        <f t="shared" si="11"/>
        <v>-2358.9297378863339</v>
      </c>
      <c r="S15" s="9">
        <f t="shared" si="5"/>
        <v>-4014.2782251008921</v>
      </c>
      <c r="T15" s="9">
        <f t="shared" si="6"/>
        <v>0</v>
      </c>
      <c r="U15" s="9">
        <f t="shared" si="12"/>
        <v>14191.365864022653</v>
      </c>
      <c r="V15" s="9">
        <f t="shared" si="13"/>
        <v>4186.4529298866828</v>
      </c>
      <c r="W15" s="9">
        <f>IF(D15=$B$21,N15-J15,0)</f>
        <v>0</v>
      </c>
      <c r="X15" s="9">
        <f>-IF(D15=$B$21,IF($B$5="Yes",MAX(N15-$B$11-$B$22,0)*($B$4+$B$3-$B$3*$B$2),MAX(N15-$B$11-$B$22,0)*($B$4+$B$3)),0)</f>
        <v>0</v>
      </c>
      <c r="Y15" s="10">
        <f t="shared" si="14"/>
        <v>-4161.6807304254135</v>
      </c>
      <c r="AA15" s="8">
        <f>IF(D15&gt;$B$21,0,$B$14*12*(1+$B$15)^(D15-1))</f>
        <v>17904.590040882988</v>
      </c>
      <c r="AB15" s="9">
        <f t="shared" si="1"/>
        <v>-19879.515738207858</v>
      </c>
      <c r="AC15" s="9">
        <f t="shared" si="7"/>
        <v>-2358.9297378863339</v>
      </c>
      <c r="AD15" s="9">
        <f t="shared" si="8"/>
        <v>-4014.2782251008921</v>
      </c>
      <c r="AE15" s="9">
        <f t="shared" si="9"/>
        <v>0</v>
      </c>
      <c r="AF15" s="9">
        <f t="shared" si="15"/>
        <v>27296.553180032635</v>
      </c>
      <c r="AG15" s="9">
        <f t="shared" si="10"/>
        <v>2770.6291260491457</v>
      </c>
      <c r="AH15" s="9">
        <f>IF(D15=$B$21,N15-J15,0)</f>
        <v>0</v>
      </c>
      <c r="AI15" s="9">
        <f>-IF(D15=$B$21,MAX(0,($B$11-G15))*MIN($B$2,$B$7)+MAX(0,N15-$B$11)*$B$4+MAX(0,N15-G15)*$B$3-IF($B$5="Yes",MAX(0,N15-G15)*$B$3*$B$2,0),0)</f>
        <v>0</v>
      </c>
      <c r="AJ15" s="10">
        <f t="shared" si="2"/>
        <v>-5577.504534262951</v>
      </c>
      <c r="AL15" s="2">
        <f t="shared" si="3"/>
        <v>1415.8238038375375</v>
      </c>
    </row>
    <row r="16" spans="1:38" x14ac:dyDescent="0.25">
      <c r="A16" s="20" t="s">
        <v>25</v>
      </c>
      <c r="B16" s="24">
        <v>2000</v>
      </c>
      <c r="D16" s="16">
        <v>13</v>
      </c>
      <c r="E16" s="8">
        <f>IF(D16&gt;$B$21,0,$B$11*(1+$B$13)^D16)</f>
        <v>401018.05544067681</v>
      </c>
      <c r="F16" s="9">
        <f>IF(D16&gt;$B$21,0,G15-G16)</f>
        <v>9090.9090909090883</v>
      </c>
      <c r="G16" s="9">
        <f t="shared" si="4"/>
        <v>191818.18181818182</v>
      </c>
      <c r="H16" s="9">
        <f>IF(D16&gt;$B$21,0,IF(D16&gt;$B$10,0,PMT($B$9,$B$10,$B$11*(1-$B$8))))</f>
        <v>-19879.515738207858</v>
      </c>
      <c r="I16" s="9">
        <f>IF(D16&gt;$B$21,0,J15*$B$9)</f>
        <v>11440.140995047832</v>
      </c>
      <c r="J16" s="9">
        <f>IF(D16&gt;$B$21,0,J15+H16+I16)</f>
        <v>226230.18412961601</v>
      </c>
      <c r="K16" s="9">
        <f>-IF(D16&gt;$B$21,0,$B$16*(1+$B$17)^(D16-1)+$B$19*(1+$B$20)^(D16-1))</f>
        <v>-4134.7065718539179</v>
      </c>
      <c r="L16" s="9">
        <f>-IF(D16&gt;$B$21,0,IF(AND($B$18="yes",J16/E16&gt;0.8),$J$3/100000*55*12,0))</f>
        <v>0</v>
      </c>
      <c r="M16" s="9">
        <f>-E16*$B$23</f>
        <v>-2406.1083326440607</v>
      </c>
      <c r="N16" s="10">
        <f>IF(D16=$B$21,E16*(1-$B$24),0)</f>
        <v>0</v>
      </c>
      <c r="O16" s="1"/>
      <c r="P16" s="8">
        <f>IF(D16&gt;$B$21,0,$B$14*12*(1+$B$15)^(D16-1))</f>
        <v>18262.681841700651</v>
      </c>
      <c r="Q16" s="9">
        <f t="shared" si="0"/>
        <v>-19879.515738207858</v>
      </c>
      <c r="R16" s="9">
        <f t="shared" si="11"/>
        <v>-2406.1083326440607</v>
      </c>
      <c r="S16" s="9">
        <f t="shared" si="5"/>
        <v>-4134.7065718539179</v>
      </c>
      <c r="T16" s="9">
        <f t="shared" si="6"/>
        <v>0</v>
      </c>
      <c r="U16" s="9">
        <f t="shared" si="12"/>
        <v>13846.249327691892</v>
      </c>
      <c r="V16" s="9">
        <f t="shared" si="13"/>
        <v>4084.6435516691081</v>
      </c>
      <c r="W16" s="9">
        <f>IF(D16=$B$21,N16-J16,0)</f>
        <v>0</v>
      </c>
      <c r="X16" s="9">
        <f>-IF(D16=$B$21,IF($B$5="Yes",MAX(N16-$B$11-$B$22,0)*($B$4+$B$3-$B$3*$B$2),MAX(N16-$B$11-$B$22,0)*($B$4+$B$3)),0)</f>
        <v>0</v>
      </c>
      <c r="Y16" s="10">
        <f t="shared" si="14"/>
        <v>-4073.0052493360772</v>
      </c>
      <c r="AA16" s="8">
        <f>IF(D16&gt;$B$21,0,$B$14*12*(1+$B$15)^(D16-1))</f>
        <v>18262.681841700651</v>
      </c>
      <c r="AB16" s="9">
        <f t="shared" si="1"/>
        <v>-19879.515738207858</v>
      </c>
      <c r="AC16" s="9">
        <f t="shared" si="7"/>
        <v>-2406.1083326440607</v>
      </c>
      <c r="AD16" s="9">
        <f t="shared" si="8"/>
        <v>-4134.7065718539179</v>
      </c>
      <c r="AE16" s="9">
        <f t="shared" si="9"/>
        <v>0</v>
      </c>
      <c r="AF16" s="9">
        <f t="shared" si="15"/>
        <v>27071.864990454898</v>
      </c>
      <c r="AG16" s="9">
        <f t="shared" si="10"/>
        <v>2598.7090288825029</v>
      </c>
      <c r="AH16" s="9">
        <f>IF(D16=$B$21,N16-J16,0)</f>
        <v>0</v>
      </c>
      <c r="AI16" s="9">
        <f>-IF(D16=$B$21,MAX(0,($B$11-G16))*MIN($B$2,$B$7)+MAX(0,N16-$B$11)*$B$4+MAX(0,N16-G16)*$B$3-IF($B$5="Yes",MAX(0,N16-G16)*$B$3*$B$2,0),0)</f>
        <v>0</v>
      </c>
      <c r="AJ16" s="10">
        <f t="shared" si="2"/>
        <v>-5558.9397721226824</v>
      </c>
      <c r="AL16" s="2">
        <f t="shared" si="3"/>
        <v>1485.9345227866052</v>
      </c>
    </row>
    <row r="17" spans="1:38" x14ac:dyDescent="0.25">
      <c r="A17" s="20" t="s">
        <v>28</v>
      </c>
      <c r="B17" s="21">
        <v>0.03</v>
      </c>
      <c r="D17" s="16">
        <v>14</v>
      </c>
      <c r="E17" s="8">
        <f>IF(D17&gt;$B$21,0,$B$11*(1+$B$13)^D17)</f>
        <v>409038.41654949036</v>
      </c>
      <c r="F17" s="9">
        <f>IF(D17&gt;$B$21,0,G16-G17)</f>
        <v>9090.9090909091174</v>
      </c>
      <c r="G17" s="9">
        <f t="shared" si="4"/>
        <v>182727.27272727271</v>
      </c>
      <c r="H17" s="9">
        <f>IF(D17&gt;$B$21,0,IF(D17&gt;$B$10,0,PMT($B$9,$B$10,$B$11*(1-$B$8))))</f>
        <v>-19879.515738207858</v>
      </c>
      <c r="I17" s="9">
        <f>IF(D17&gt;$B$21,0,J16*$B$9)</f>
        <v>11028.72147631878</v>
      </c>
      <c r="J17" s="9">
        <f>IF(D17&gt;$B$21,0,J16+H17+I17)</f>
        <v>217379.38986772695</v>
      </c>
      <c r="K17" s="9">
        <f>-IF(D17&gt;$B$21,0,$B$16*(1+$B$17)^(D17-1)+$B$19*(1+$B$20)^(D17-1))</f>
        <v>-4258.7477690095357</v>
      </c>
      <c r="L17" s="9">
        <f>-IF(D17&gt;$B$21,0,IF(AND($B$18="yes",J17/E17&gt;0.8),$J$3/100000*55*12,0))</f>
        <v>0</v>
      </c>
      <c r="M17" s="9">
        <f>-E17*$B$23</f>
        <v>-2454.2304992969421</v>
      </c>
      <c r="N17" s="10">
        <f>IF(D17=$B$21,E17*(1-$B$24),0)</f>
        <v>0</v>
      </c>
      <c r="O17" s="1"/>
      <c r="P17" s="8">
        <f>IF(D17&gt;$B$21,0,$B$14*12*(1+$B$15)^(D17-1))</f>
        <v>18627.935478534662</v>
      </c>
      <c r="Q17" s="9">
        <f t="shared" si="0"/>
        <v>-19879.515738207858</v>
      </c>
      <c r="R17" s="9">
        <f t="shared" si="11"/>
        <v>-2454.2304992969421</v>
      </c>
      <c r="S17" s="9">
        <f t="shared" si="5"/>
        <v>-4258.7477690095357</v>
      </c>
      <c r="T17" s="9">
        <f t="shared" si="6"/>
        <v>0</v>
      </c>
      <c r="U17" s="9">
        <f t="shared" si="12"/>
        <v>13482.951975615722</v>
      </c>
      <c r="V17" s="9">
        <f t="shared" si="13"/>
        <v>3977.4708328066381</v>
      </c>
      <c r="W17" s="9">
        <f>IF(D17=$B$21,N17-J17,0)</f>
        <v>0</v>
      </c>
      <c r="X17" s="9">
        <f>-IF(D17=$B$21,IF($B$5="Yes",MAX(N17-$B$11-$B$22,0)*($B$4+$B$3-$B$3*$B$2),MAX(N17-$B$11-$B$22,0)*($B$4+$B$3)),0)</f>
        <v>0</v>
      </c>
      <c r="Y17" s="10">
        <f t="shared" si="14"/>
        <v>-3987.0876951730352</v>
      </c>
      <c r="AA17" s="8">
        <f>IF(D17&gt;$B$21,0,$B$14*12*(1+$B$15)^(D17-1))</f>
        <v>18627.935478534662</v>
      </c>
      <c r="AB17" s="9">
        <f t="shared" si="1"/>
        <v>-19879.515738207858</v>
      </c>
      <c r="AC17" s="9">
        <f t="shared" si="7"/>
        <v>-2454.2304992969421</v>
      </c>
      <c r="AD17" s="9">
        <f t="shared" si="8"/>
        <v>-4258.7477690095357</v>
      </c>
      <c r="AE17" s="9">
        <f t="shared" si="9"/>
        <v>0</v>
      </c>
      <c r="AF17" s="9">
        <f t="shared" si="15"/>
        <v>26832.608835534375</v>
      </c>
      <c r="AG17" s="9">
        <f t="shared" si="10"/>
        <v>2420.3786403149152</v>
      </c>
      <c r="AH17" s="9">
        <f>IF(D17=$B$21,N17-J17,0)</f>
        <v>0</v>
      </c>
      <c r="AI17" s="9">
        <f>-IF(D17=$B$21,MAX(0,($B$11-G17))*MIN($B$2,$B$7)+MAX(0,N17-$B$11)*$B$4+MAX(0,N17-G17)*$B$3-IF($B$5="Yes",MAX(0,N17-G17)*$B$3*$B$2,0),0)</f>
        <v>0</v>
      </c>
      <c r="AJ17" s="10">
        <f t="shared" si="2"/>
        <v>-5544.1798876647581</v>
      </c>
      <c r="AL17" s="2">
        <f t="shared" si="3"/>
        <v>1557.0921924917229</v>
      </c>
    </row>
    <row r="18" spans="1:38" x14ac:dyDescent="0.25">
      <c r="A18" s="20" t="s">
        <v>52</v>
      </c>
      <c r="B18" s="22" t="s">
        <v>49</v>
      </c>
      <c r="D18" s="16">
        <v>15</v>
      </c>
      <c r="E18" s="8">
        <f>IF(D18&gt;$B$21,0,$B$11*(1+$B$13)^D18)</f>
        <v>417219.18488048005</v>
      </c>
      <c r="F18" s="9">
        <f>IF(D18&gt;$B$21,0,G17-G18)</f>
        <v>9090.9090909090592</v>
      </c>
      <c r="G18" s="9">
        <f t="shared" si="4"/>
        <v>173636.36363636365</v>
      </c>
      <c r="H18" s="9">
        <f>IF(D18&gt;$B$21,0,IF(D18&gt;$B$10,0,PMT($B$9,$B$10,$B$11*(1-$B$8))))</f>
        <v>-19879.515738207858</v>
      </c>
      <c r="I18" s="9">
        <f>IF(D18&gt;$B$21,0,J17*$B$9)</f>
        <v>10597.245256051689</v>
      </c>
      <c r="J18" s="9">
        <f>IF(D18&gt;$B$21,0,J17+H18+I18)</f>
        <v>208097.11938557078</v>
      </c>
      <c r="K18" s="9">
        <f>-IF(D18&gt;$B$21,0,$B$16*(1+$B$17)^(D18-1)+$B$19*(1+$B$20)^(D18-1))</f>
        <v>-4386.5102020798222</v>
      </c>
      <c r="L18" s="9">
        <f>-IF(D18&gt;$B$21,0,IF(AND($B$18="yes",J18/E18&gt;0.8),$J$3/100000*55*12,0))</f>
        <v>0</v>
      </c>
      <c r="M18" s="9">
        <f>-E18*$B$23</f>
        <v>-2503.3151092828803</v>
      </c>
      <c r="N18" s="10">
        <f>IF(D18=$B$21,E18*(1-$B$24),0)</f>
        <v>0</v>
      </c>
      <c r="O18" s="1"/>
      <c r="P18" s="8">
        <f>IF(D18&gt;$B$21,0,$B$14*12*(1+$B$15)^(D18-1))</f>
        <v>19000.49418810536</v>
      </c>
      <c r="Q18" s="9">
        <f t="shared" si="0"/>
        <v>-19879.515738207858</v>
      </c>
      <c r="R18" s="9">
        <f t="shared" si="11"/>
        <v>-2503.3151092828803</v>
      </c>
      <c r="S18" s="9">
        <f t="shared" si="5"/>
        <v>-4386.5102020798222</v>
      </c>
      <c r="T18" s="9">
        <f t="shared" si="6"/>
        <v>0</v>
      </c>
      <c r="U18" s="9">
        <f t="shared" si="12"/>
        <v>13100.560365334568</v>
      </c>
      <c r="V18" s="9">
        <f t="shared" si="13"/>
        <v>3864.6653077736974</v>
      </c>
      <c r="W18" s="9">
        <f>IF(D18=$B$21,N18-J18,0)</f>
        <v>0</v>
      </c>
      <c r="X18" s="9">
        <f>-IF(D18=$B$21,IF($B$5="Yes",MAX(N18-$B$11-$B$22,0)*($B$4+$B$3-$B$3*$B$2),MAX(N18-$B$11-$B$22,0)*($B$4+$B$3)),0)</f>
        <v>0</v>
      </c>
      <c r="Y18" s="10">
        <f t="shared" si="14"/>
        <v>-3904.1815536915028</v>
      </c>
      <c r="AA18" s="8">
        <f>IF(D18&gt;$B$21,0,$B$14*12*(1+$B$15)^(D18-1))</f>
        <v>19000.49418810536</v>
      </c>
      <c r="AB18" s="9">
        <f t="shared" si="1"/>
        <v>-19879.515738207858</v>
      </c>
      <c r="AC18" s="9">
        <f t="shared" si="7"/>
        <v>-2503.3151092828803</v>
      </c>
      <c r="AD18" s="9">
        <f t="shared" si="8"/>
        <v>-4386.5102020798222</v>
      </c>
      <c r="AE18" s="9">
        <f t="shared" si="9"/>
        <v>0</v>
      </c>
      <c r="AF18" s="9">
        <f t="shared" si="15"/>
        <v>26577.979658323453</v>
      </c>
      <c r="AG18" s="9">
        <f t="shared" si="10"/>
        <v>2235.3582137143371</v>
      </c>
      <c r="AH18" s="9">
        <f>IF(D18=$B$21,N18-J18,0)</f>
        <v>0</v>
      </c>
      <c r="AI18" s="9">
        <f>-IF(D18=$B$21,MAX(0,($B$11-G18))*MIN($B$2,$B$7)+MAX(0,N18-$B$11)*$B$4+MAX(0,N18-G18)*$B$3-IF($B$5="Yes",MAX(0,N18-G18)*$B$3*$B$2,0),0)</f>
        <v>0</v>
      </c>
      <c r="AJ18" s="10">
        <f t="shared" si="2"/>
        <v>-5533.4886477508626</v>
      </c>
      <c r="AL18" s="2">
        <f t="shared" si="3"/>
        <v>1629.3070940593598</v>
      </c>
    </row>
    <row r="19" spans="1:38" ht="15" customHeight="1" x14ac:dyDescent="0.25">
      <c r="A19" s="20" t="s">
        <v>53</v>
      </c>
      <c r="B19" s="24">
        <v>900</v>
      </c>
      <c r="D19" s="16">
        <v>16</v>
      </c>
      <c r="E19" s="8">
        <f>IF(D19&gt;$B$21,0,$B$11*(1+$B$13)^D19)</f>
        <v>425563.5685780897</v>
      </c>
      <c r="F19" s="9">
        <f>IF(D19&gt;$B$21,0,G18-G19)</f>
        <v>9090.9090909090883</v>
      </c>
      <c r="G19" s="9">
        <f t="shared" si="4"/>
        <v>164545.45454545456</v>
      </c>
      <c r="H19" s="9">
        <f>IF(D19&gt;$B$21,0,IF(D19&gt;$B$10,0,PMT($B$9,$B$10,$B$11*(1-$B$8))))</f>
        <v>-19879.515738207858</v>
      </c>
      <c r="I19" s="9">
        <f>IF(D19&gt;$B$21,0,J18*$B$9)</f>
        <v>10144.734570046576</v>
      </c>
      <c r="J19" s="9">
        <f>IF(D19&gt;$B$21,0,J18+H19+I19)</f>
        <v>198362.3382174095</v>
      </c>
      <c r="K19" s="9">
        <f>-IF(D19&gt;$B$21,0,$B$16*(1+$B$17)^(D19-1)+$B$19*(1+$B$20)^(D19-1))</f>
        <v>-4518.1055081422164</v>
      </c>
      <c r="L19" s="9">
        <f>-IF(D19&gt;$B$21,0,IF(AND($B$18="yes",J19/E19&gt;0.8),$J$3/100000*55*12,0))</f>
        <v>0</v>
      </c>
      <c r="M19" s="9">
        <f>-E19*$B$23</f>
        <v>-2553.3814114685383</v>
      </c>
      <c r="N19" s="10">
        <f>IF(D19=$B$21,E19*(1-$B$24),0)</f>
        <v>0</v>
      </c>
      <c r="O19" s="1"/>
      <c r="P19" s="8">
        <f>IF(D19&gt;$B$21,0,$B$14*12*(1+$B$15)^(D19-1))</f>
        <v>19380.504071867461</v>
      </c>
      <c r="Q19" s="9">
        <f t="shared" si="0"/>
        <v>-19879.515738207858</v>
      </c>
      <c r="R19" s="9">
        <f t="shared" si="11"/>
        <v>-2553.3814114685383</v>
      </c>
      <c r="S19" s="9">
        <f t="shared" si="5"/>
        <v>-4518.1055081422164</v>
      </c>
      <c r="T19" s="9">
        <f t="shared" si="6"/>
        <v>0</v>
      </c>
      <c r="U19" s="9">
        <f t="shared" si="12"/>
        <v>12698.115981515115</v>
      </c>
      <c r="V19" s="9">
        <f t="shared" si="13"/>
        <v>3745.9442145469588</v>
      </c>
      <c r="W19" s="9">
        <f>IF(D19=$B$21,N19-J19,0)</f>
        <v>0</v>
      </c>
      <c r="X19" s="9">
        <f>-IF(D19=$B$21,IF($B$5="Yes",MAX(N19-$B$11-$B$22,0)*($B$4+$B$3-$B$3*$B$2),MAX(N19-$B$11-$B$22,0)*($B$4+$B$3)),0)</f>
        <v>0</v>
      </c>
      <c r="Y19" s="10">
        <f t="shared" si="14"/>
        <v>-3824.5543714041928</v>
      </c>
      <c r="AA19" s="8">
        <f>IF(D19&gt;$B$21,0,$B$14*12*(1+$B$15)^(D19-1))</f>
        <v>19380.504071867461</v>
      </c>
      <c r="AB19" s="9">
        <f t="shared" si="1"/>
        <v>-19879.515738207858</v>
      </c>
      <c r="AC19" s="9">
        <f t="shared" si="7"/>
        <v>-2553.3814114685383</v>
      </c>
      <c r="AD19" s="9">
        <f t="shared" si="8"/>
        <v>-4518.1055081422164</v>
      </c>
      <c r="AE19" s="9">
        <f t="shared" si="9"/>
        <v>0</v>
      </c>
      <c r="AF19" s="9">
        <f t="shared" si="15"/>
        <v>26307.130580566416</v>
      </c>
      <c r="AG19" s="9">
        <f t="shared" si="10"/>
        <v>2043.3548200661917</v>
      </c>
      <c r="AH19" s="9">
        <f>IF(D19=$B$21,N19-J19,0)</f>
        <v>0</v>
      </c>
      <c r="AI19" s="9">
        <f>-IF(D19=$B$21,MAX(0,($B$11-G19))*MIN($B$2,$B$7)+MAX(0,N19-$B$11)*$B$4+MAX(0,N19-G19)*$B$3-IF($B$5="Yes",MAX(0,N19-G19)*$B$3*$B$2,0),0)</f>
        <v>0</v>
      </c>
      <c r="AJ19" s="10">
        <f t="shared" si="2"/>
        <v>-5527.14376588496</v>
      </c>
      <c r="AL19" s="2">
        <f t="shared" si="3"/>
        <v>1702.5893944807672</v>
      </c>
    </row>
    <row r="20" spans="1:38" x14ac:dyDescent="0.25">
      <c r="A20" s="20" t="s">
        <v>46</v>
      </c>
      <c r="B20" s="21">
        <v>0.03</v>
      </c>
      <c r="D20" s="16">
        <v>17</v>
      </c>
      <c r="E20" s="8">
        <f>IF(D20&gt;$B$21,0,$B$11*(1+$B$13)^D20)</f>
        <v>434074.83994965156</v>
      </c>
      <c r="F20" s="9">
        <f>IF(D20&gt;$B$21,0,G19-G20)</f>
        <v>9090.9090909091174</v>
      </c>
      <c r="G20" s="9">
        <f t="shared" si="4"/>
        <v>155454.54545454544</v>
      </c>
      <c r="H20" s="9">
        <f>IF(D20&gt;$B$21,0,IF(D20&gt;$B$10,0,PMT($B$9,$B$10,$B$11*(1-$B$8))))</f>
        <v>-19879.515738207858</v>
      </c>
      <c r="I20" s="9">
        <f>IF(D20&gt;$B$21,0,J19*$B$9)</f>
        <v>9670.1639880987132</v>
      </c>
      <c r="J20" s="9">
        <f>IF(D20&gt;$B$21,0,J19+H20+I20)</f>
        <v>188152.98646730036</v>
      </c>
      <c r="K20" s="9">
        <f>-IF(D20&gt;$B$21,0,$B$16*(1+$B$17)^(D20-1)+$B$19*(1+$B$20)^(D20-1))</f>
        <v>-4653.6486733864822</v>
      </c>
      <c r="L20" s="9">
        <f>-IF(D20&gt;$B$21,0,IF(AND($B$18="yes",J20/E20&gt;0.8),$J$3/100000*55*12,0))</f>
        <v>0</v>
      </c>
      <c r="M20" s="9">
        <f>-E20*$B$23</f>
        <v>-2604.4490396979095</v>
      </c>
      <c r="N20" s="10">
        <f>IF(D20=$B$21,E20*(1-$B$24),0)</f>
        <v>0</v>
      </c>
      <c r="O20" s="1"/>
      <c r="P20" s="8">
        <f>IF(D20&gt;$B$21,0,$B$14*12*(1+$B$15)^(D20-1))</f>
        <v>19768.114153304814</v>
      </c>
      <c r="Q20" s="9">
        <f t="shared" si="0"/>
        <v>-19879.515738207858</v>
      </c>
      <c r="R20" s="9">
        <f t="shared" si="11"/>
        <v>-2604.4490396979095</v>
      </c>
      <c r="S20" s="9">
        <f t="shared" si="5"/>
        <v>-4653.6486733864822</v>
      </c>
      <c r="T20" s="9">
        <f t="shared" si="6"/>
        <v>0</v>
      </c>
      <c r="U20" s="9">
        <f t="shared" si="12"/>
        <v>12274.613027796622</v>
      </c>
      <c r="V20" s="9">
        <f t="shared" si="13"/>
        <v>3621.0108432000034</v>
      </c>
      <c r="W20" s="9">
        <f>IF(D20=$B$21,N20-J20,0)</f>
        <v>0</v>
      </c>
      <c r="X20" s="9">
        <f>-IF(D20=$B$21,IF($B$5="Yes",MAX(N20-$B$11-$B$22,0)*($B$4+$B$3-$B$3*$B$2),MAX(N20-$B$11-$B$22,0)*($B$4+$B$3)),0)</f>
        <v>0</v>
      </c>
      <c r="Y20" s="10">
        <f t="shared" si="14"/>
        <v>-3748.4884547874317</v>
      </c>
      <c r="AA20" s="8">
        <f>IF(D20&gt;$B$21,0,$B$14*12*(1+$B$15)^(D20-1))</f>
        <v>19768.114153304814</v>
      </c>
      <c r="AB20" s="9">
        <f t="shared" si="1"/>
        <v>-19879.515738207858</v>
      </c>
      <c r="AC20" s="9">
        <f t="shared" si="7"/>
        <v>-2604.4490396979095</v>
      </c>
      <c r="AD20" s="9">
        <f t="shared" si="8"/>
        <v>-4653.6486733864822</v>
      </c>
      <c r="AE20" s="9">
        <f t="shared" si="9"/>
        <v>0</v>
      </c>
      <c r="AF20" s="9">
        <f t="shared" si="15"/>
        <v>26019.17079209222</v>
      </c>
      <c r="AG20" s="9">
        <f t="shared" si="10"/>
        <v>1844.0617084422847</v>
      </c>
      <c r="AH20" s="9">
        <f>IF(D20=$B$21,N20-J20,0)</f>
        <v>0</v>
      </c>
      <c r="AI20" s="9">
        <f>-IF(D20=$B$21,MAX(0,($B$11-G20))*MIN($B$2,$B$7)+MAX(0,N20-$B$11)*$B$4+MAX(0,N20-G20)*$B$3-IF($B$5="Yes",MAX(0,N20-G20)*$B$3*$B$2,0),0)</f>
        <v>0</v>
      </c>
      <c r="AJ20" s="10">
        <f t="shared" si="2"/>
        <v>-5525.4375895451503</v>
      </c>
      <c r="AL20" s="2">
        <f t="shared" si="3"/>
        <v>1776.9491347577186</v>
      </c>
    </row>
    <row r="21" spans="1:38" x14ac:dyDescent="0.25">
      <c r="A21" s="20" t="s">
        <v>50</v>
      </c>
      <c r="B21" s="23">
        <v>20</v>
      </c>
      <c r="D21" s="16">
        <v>18</v>
      </c>
      <c r="E21" s="8">
        <f>IF(D21&gt;$B$21,0,$B$11*(1+$B$13)^D21)</f>
        <v>442756.33674864453</v>
      </c>
      <c r="F21" s="9">
        <f>IF(D21&gt;$B$21,0,G20-G21)</f>
        <v>9090.9090909090883</v>
      </c>
      <c r="G21" s="9">
        <f t="shared" si="4"/>
        <v>146363.63636363635</v>
      </c>
      <c r="H21" s="9">
        <f>IF(D21&gt;$B$21,0,IF(D21&gt;$B$10,0,PMT($B$9,$B$10,$B$11*(1-$B$8))))</f>
        <v>-19879.515738207858</v>
      </c>
      <c r="I21" s="9">
        <f>IF(D21&gt;$B$21,0,J20*$B$9)</f>
        <v>9172.4580902808921</v>
      </c>
      <c r="J21" s="9">
        <f>IF(D21&gt;$B$21,0,J20+H21+I21)</f>
        <v>177445.9288193734</v>
      </c>
      <c r="K21" s="9">
        <f>-IF(D21&gt;$B$21,0,$B$16*(1+$B$17)^(D21-1)+$B$19*(1+$B$20)^(D21-1))</f>
        <v>-4793.2581335880768</v>
      </c>
      <c r="L21" s="9">
        <f>-IF(D21&gt;$B$21,0,IF(AND($B$18="yes",J21/E21&gt;0.8),$J$3/100000*55*12,0))</f>
        <v>0</v>
      </c>
      <c r="M21" s="9">
        <f>-E21*$B$23</f>
        <v>-2656.5380204918674</v>
      </c>
      <c r="N21" s="10">
        <f>IF(D21=$B$21,E21*(1-$B$24),0)</f>
        <v>0</v>
      </c>
      <c r="O21" s="1"/>
      <c r="P21" s="8">
        <f>IF(D21&gt;$B$21,0,$B$14*12*(1+$B$15)^(D21-1))</f>
        <v>20163.476436370911</v>
      </c>
      <c r="Q21" s="9">
        <f t="shared" si="0"/>
        <v>-19879.515738207858</v>
      </c>
      <c r="R21" s="9">
        <f t="shared" si="11"/>
        <v>-2656.5380204918674</v>
      </c>
      <c r="S21" s="9">
        <f t="shared" si="5"/>
        <v>-4793.2581335880768</v>
      </c>
      <c r="T21" s="9">
        <f t="shared" si="6"/>
        <v>0</v>
      </c>
      <c r="U21" s="9">
        <f t="shared" si="12"/>
        <v>11828.996110772759</v>
      </c>
      <c r="V21" s="9">
        <f t="shared" si="13"/>
        <v>3489.5538526779637</v>
      </c>
      <c r="W21" s="9">
        <f>IF(D21=$B$21,N21-J21,0)</f>
        <v>0</v>
      </c>
      <c r="X21" s="9">
        <f>-IF(D21=$B$21,IF($B$5="Yes",MAX(N21-$B$11-$B$22,0)*($B$4+$B$3-$B$3*$B$2),MAX(N21-$B$11-$B$22,0)*($B$4+$B$3)),0)</f>
        <v>0</v>
      </c>
      <c r="Y21" s="10">
        <f t="shared" si="14"/>
        <v>-3676.2816032389273</v>
      </c>
      <c r="AA21" s="8">
        <f>IF(D21&gt;$B$21,0,$B$14*12*(1+$B$15)^(D21-1))</f>
        <v>20163.476436370911</v>
      </c>
      <c r="AB21" s="9">
        <f t="shared" si="1"/>
        <v>-19879.515738207858</v>
      </c>
      <c r="AC21" s="9">
        <f t="shared" si="7"/>
        <v>-2656.5380204918674</v>
      </c>
      <c r="AD21" s="9">
        <f t="shared" si="8"/>
        <v>-4793.2581335880768</v>
      </c>
      <c r="AE21" s="9">
        <f t="shared" si="9"/>
        <v>0</v>
      </c>
      <c r="AF21" s="9">
        <f t="shared" si="15"/>
        <v>25713.163335269928</v>
      </c>
      <c r="AG21" s="9">
        <f t="shared" si="10"/>
        <v>1637.1576351752101</v>
      </c>
      <c r="AH21" s="9">
        <f>IF(D21=$B$21,N21-J21,0)</f>
        <v>0</v>
      </c>
      <c r="AI21" s="9">
        <f>-IF(D21=$B$21,MAX(0,($B$11-G21))*MIN($B$2,$B$7)+MAX(0,N21-$B$11)*$B$4+MAX(0,N21-G21)*$B$3-IF($B$5="Yes",MAX(0,N21-G21)*$B$3*$B$2,0),0)</f>
        <v>0</v>
      </c>
      <c r="AJ21" s="10">
        <f t="shared" si="2"/>
        <v>-5528.677820741681</v>
      </c>
      <c r="AL21" s="2">
        <f t="shared" si="3"/>
        <v>1852.3962175027536</v>
      </c>
    </row>
    <row r="22" spans="1:38" ht="15" customHeight="1" x14ac:dyDescent="0.25">
      <c r="A22" s="20" t="s">
        <v>19</v>
      </c>
      <c r="B22" s="24">
        <v>500000</v>
      </c>
      <c r="D22" s="16">
        <v>19</v>
      </c>
      <c r="E22" s="8">
        <f>IF(D22&gt;$B$21,0,$B$11*(1+$B$13)^D22)</f>
        <v>451611.46348361741</v>
      </c>
      <c r="F22" s="9">
        <f>IF(D22&gt;$B$21,0,G21-G22)</f>
        <v>9090.9090909090883</v>
      </c>
      <c r="G22" s="9">
        <f t="shared" si="4"/>
        <v>137272.72727272726</v>
      </c>
      <c r="H22" s="9">
        <f>IF(D22&gt;$B$21,0,IF(D22&gt;$B$10,0,PMT($B$9,$B$10,$B$11*(1-$B$8))))</f>
        <v>-19879.515738207858</v>
      </c>
      <c r="I22" s="9">
        <f>IF(D22&gt;$B$21,0,J21*$B$9)</f>
        <v>8650.4890299444542</v>
      </c>
      <c r="J22" s="9">
        <f>IF(D22&gt;$B$21,0,J21+H22+I22)</f>
        <v>166216.90211111002</v>
      </c>
      <c r="K22" s="9">
        <f>-IF(D22&gt;$B$21,0,$B$16*(1+$B$17)^(D22-1)+$B$19*(1+$B$20)^(D22-1))</f>
        <v>-4937.0558775957197</v>
      </c>
      <c r="L22" s="9">
        <f>-IF(D22&gt;$B$21,0,IF(AND($B$18="yes",J22/E22&gt;0.8),$J$3/100000*55*12,0))</f>
        <v>0</v>
      </c>
      <c r="M22" s="9">
        <f>-E22*$B$23</f>
        <v>-2709.6687809017044</v>
      </c>
      <c r="N22" s="10">
        <f>IF(D22=$B$21,E22*(1-$B$24),0)</f>
        <v>0</v>
      </c>
      <c r="O22" s="1"/>
      <c r="P22" s="8">
        <f>IF(D22&gt;$B$21,0,$B$14*12*(1+$B$15)^(D22-1))</f>
        <v>20566.745965098326</v>
      </c>
      <c r="Q22" s="9">
        <f t="shared" si="0"/>
        <v>-19879.515738207858</v>
      </c>
      <c r="R22" s="9">
        <f t="shared" si="11"/>
        <v>-2709.6687809017044</v>
      </c>
      <c r="S22" s="9">
        <f t="shared" si="5"/>
        <v>-4937.0558775957197</v>
      </c>
      <c r="T22" s="9">
        <f t="shared" si="6"/>
        <v>0</v>
      </c>
      <c r="U22" s="9">
        <f t="shared" si="12"/>
        <v>11360.157810846158</v>
      </c>
      <c r="V22" s="9">
        <f t="shared" si="13"/>
        <v>3351.2465541996166</v>
      </c>
      <c r="W22" s="9">
        <f>IF(D22=$B$21,N22-J22,0)</f>
        <v>0</v>
      </c>
      <c r="X22" s="9">
        <f>-IF(D22=$B$21,IF($B$5="Yes",MAX(N22-$B$11-$B$22,0)*($B$4+$B$3-$B$3*$B$2),MAX(N22-$B$11-$B$22,0)*($B$4+$B$3)),0)</f>
        <v>0</v>
      </c>
      <c r="Y22" s="10">
        <f t="shared" si="14"/>
        <v>-3608.2478774073393</v>
      </c>
      <c r="AA22" s="8">
        <f>IF(D22&gt;$B$21,0,$B$14*12*(1+$B$15)^(D22-1))</f>
        <v>20566.745965098326</v>
      </c>
      <c r="AB22" s="9">
        <f t="shared" si="1"/>
        <v>-19879.515738207858</v>
      </c>
      <c r="AC22" s="9">
        <f t="shared" si="7"/>
        <v>-2709.6687809017044</v>
      </c>
      <c r="AD22" s="9">
        <f t="shared" si="8"/>
        <v>-4937.0558775957197</v>
      </c>
      <c r="AE22" s="9">
        <f t="shared" si="9"/>
        <v>0</v>
      </c>
      <c r="AF22" s="9">
        <f t="shared" si="15"/>
        <v>25388.122779350964</v>
      </c>
      <c r="AG22" s="9">
        <f t="shared" si="10"/>
        <v>1422.3061602045284</v>
      </c>
      <c r="AH22" s="9">
        <f>IF(D22=$B$21,N22-J22,0)</f>
        <v>0</v>
      </c>
      <c r="AI22" s="9">
        <f>-IF(D22=$B$21,MAX(0,($B$11-G22))*MIN($B$2,$B$7)+MAX(0,N22-$B$11)*$B$4+MAX(0,N22-G22)*$B$3-IF($B$5="Yes",MAX(0,N22-G22)*$B$3*$B$2,0),0)</f>
        <v>0</v>
      </c>
      <c r="AJ22" s="10">
        <f t="shared" si="2"/>
        <v>-5537.1882714024277</v>
      </c>
      <c r="AL22" s="2">
        <f t="shared" si="3"/>
        <v>1928.9403939950885</v>
      </c>
    </row>
    <row r="23" spans="1:38" ht="15" customHeight="1" x14ac:dyDescent="0.25">
      <c r="A23" s="20" t="s">
        <v>13</v>
      </c>
      <c r="B23" s="21">
        <v>6.0000000000000001E-3</v>
      </c>
      <c r="D23" s="16">
        <v>20</v>
      </c>
      <c r="E23" s="8">
        <f>IF(D23&gt;$B$21,0,$B$11*(1+$B$13)^D23)</f>
        <v>460643.69275328983</v>
      </c>
      <c r="F23" s="9">
        <f>IF(D23&gt;$B$21,0,G22-G23)</f>
        <v>9090.9090909090883</v>
      </c>
      <c r="G23" s="9">
        <f t="shared" si="4"/>
        <v>128181.81818181818</v>
      </c>
      <c r="H23" s="9">
        <f>IF(D23&gt;$B$21,0,IF(D23&gt;$B$10,0,PMT($B$9,$B$10,$B$11*(1-$B$8))))</f>
        <v>-19879.515738207858</v>
      </c>
      <c r="I23" s="9">
        <f>IF(D23&gt;$B$21,0,J22*$B$9)</f>
        <v>8103.0739779166133</v>
      </c>
      <c r="J23" s="9">
        <f>IF(D23&gt;$B$21,0,J22+H23+I23)</f>
        <v>154440.46035081879</v>
      </c>
      <c r="K23" s="9">
        <f>-IF(D23&gt;$B$21,0,$B$16*(1+$B$17)^(D23-1)+$B$19*(1+$B$20)^(D23-1))</f>
        <v>-5085.1675539235912</v>
      </c>
      <c r="L23" s="9">
        <f>-IF(D23&gt;$B$21,0,IF(AND($B$18="yes",J23/E23&gt;0.8),$J$3/100000*55*12,0))</f>
        <v>0</v>
      </c>
      <c r="M23" s="9">
        <f>-E23*$B$23</f>
        <v>-2763.8621565197391</v>
      </c>
      <c r="N23" s="10">
        <f>IF(D23=$B$21,E23*(1-$B$24),0)</f>
        <v>433005.07118809241</v>
      </c>
      <c r="O23" s="1"/>
      <c r="P23" s="8">
        <f>IF(D23&gt;$B$21,0,$B$14*12*(1+$B$15)^(D23-1))</f>
        <v>20978.080884400293</v>
      </c>
      <c r="Q23" s="9">
        <f t="shared" si="0"/>
        <v>-19879.515738207858</v>
      </c>
      <c r="R23" s="9">
        <f t="shared" si="11"/>
        <v>-2763.8621565197391</v>
      </c>
      <c r="S23" s="9">
        <f t="shared" si="5"/>
        <v>-5085.1675539235912</v>
      </c>
      <c r="T23" s="9">
        <f t="shared" si="6"/>
        <v>0</v>
      </c>
      <c r="U23" s="9">
        <f t="shared" si="12"/>
        <v>10866.936134436353</v>
      </c>
      <c r="V23" s="9">
        <f t="shared" si="13"/>
        <v>3205.7461596587241</v>
      </c>
      <c r="W23" s="9">
        <f>IF(D23=$B$21,N23-J23,0)</f>
        <v>278564.61083727365</v>
      </c>
      <c r="X23" s="9">
        <f>-IF(D23=$B$21,IF($B$5="Yes",MAX(N23-$B$11-$B$22,0)*($B$4+$B$3-$B$3*$B$2),MAX(N23-$B$11-$B$22,0)*($B$4+$B$3)),0)</f>
        <v>0</v>
      </c>
      <c r="Y23" s="10">
        <f t="shared" si="14"/>
        <v>275019.89243268146</v>
      </c>
      <c r="AA23" s="8">
        <f>IF(D23&gt;$B$21,0,$B$14*12*(1+$B$15)^(D23-1))</f>
        <v>20978.080884400293</v>
      </c>
      <c r="AB23" s="9">
        <f t="shared" si="1"/>
        <v>-19879.515738207858</v>
      </c>
      <c r="AC23" s="9">
        <f t="shared" si="7"/>
        <v>-2763.8621565197391</v>
      </c>
      <c r="AD23" s="9">
        <f t="shared" si="8"/>
        <v>-5085.1675539235912</v>
      </c>
      <c r="AE23" s="9">
        <f t="shared" si="9"/>
        <v>0</v>
      </c>
      <c r="AF23" s="9">
        <f t="shared" si="15"/>
        <v>25043.012779269033</v>
      </c>
      <c r="AG23" s="9">
        <f t="shared" si="10"/>
        <v>1199.1549089862781</v>
      </c>
      <c r="AH23" s="9">
        <f>IF(D23=$B$21,N23-J23,0)</f>
        <v>278564.61083727365</v>
      </c>
      <c r="AI23" s="9">
        <f>-IF(D23=$B$21,MAX(0,($B$11-G23))*MIN($B$2,$B$7)+MAX(0,N23-$B$11)*$B$4+MAX(0,N23-G23)*$B$3-IF($B$5="Yes",MAX(0,N23-G23)*$B$3*$B$2,0),0)</f>
        <v>-77622.352518041647</v>
      </c>
      <c r="AJ23" s="10">
        <f t="shared" si="2"/>
        <v>195390.94866396737</v>
      </c>
      <c r="AL23" s="2">
        <f t="shared" si="3"/>
        <v>79628.943768714089</v>
      </c>
    </row>
    <row r="24" spans="1:38" x14ac:dyDescent="0.25">
      <c r="A24" s="25" t="s">
        <v>18</v>
      </c>
      <c r="B24" s="26">
        <v>0.06</v>
      </c>
      <c r="D24" s="16">
        <v>21</v>
      </c>
      <c r="E24" s="8">
        <f>IF(D24&gt;$B$21,0,$B$11*(1+$B$13)^D24)</f>
        <v>0</v>
      </c>
      <c r="F24" s="9">
        <f>IF(D24&gt;$B$21,0,G23-G24)</f>
        <v>0</v>
      </c>
      <c r="G24" s="9">
        <f t="shared" si="4"/>
        <v>0</v>
      </c>
      <c r="H24" s="9">
        <f>IF(D24&gt;$B$21,0,IF(D24&gt;$B$10,0,PMT($B$9,$B$10,$B$11*(1-$B$8))))</f>
        <v>0</v>
      </c>
      <c r="I24" s="9">
        <f>IF(D24&gt;$B$21,0,J23*$B$9)</f>
        <v>0</v>
      </c>
      <c r="J24" s="9">
        <f>IF(D24&gt;$B$21,0,J23+H24+I24)</f>
        <v>0</v>
      </c>
      <c r="K24" s="9">
        <f>-IF(D24&gt;$B$21,0,$B$16*(1+$B$17)^(D24-1)+$B$19*(1+$B$20)^(D24-1))</f>
        <v>0</v>
      </c>
      <c r="L24" s="9">
        <f>-IF(D24&gt;$B$21,0,IF(AND($B$18="yes",J24/E24&gt;0.8),$J$3/100000*55*12,0))</f>
        <v>0</v>
      </c>
      <c r="M24" s="9">
        <f>-E24*$B$23</f>
        <v>0</v>
      </c>
      <c r="N24" s="10">
        <f>IF(D24=$B$21,E24*(1-$B$24),0)</f>
        <v>0</v>
      </c>
      <c r="O24" s="1"/>
      <c r="P24" s="8">
        <f>IF(D24&gt;$B$21,0,$B$14*12*(1+$B$15)^(D24-1))</f>
        <v>0</v>
      </c>
      <c r="Q24" s="9">
        <f t="shared" si="0"/>
        <v>0</v>
      </c>
      <c r="R24" s="9">
        <f t="shared" si="11"/>
        <v>0</v>
      </c>
      <c r="S24" s="9">
        <f t="shared" si="5"/>
        <v>0</v>
      </c>
      <c r="T24" s="9">
        <f t="shared" si="6"/>
        <v>0</v>
      </c>
      <c r="U24" s="9">
        <f t="shared" si="12"/>
        <v>0</v>
      </c>
      <c r="V24" s="9">
        <f t="shared" si="13"/>
        <v>0</v>
      </c>
      <c r="W24" s="9">
        <f>IF(D24=$B$21,N24-J24,0)</f>
        <v>0</v>
      </c>
      <c r="X24" s="9">
        <f>-IF(D24=$B$21,IF($B$5="Yes",MAX(N24-$B$11-$B$22,0)*($B$4+$B$3-$B$3*$B$2),MAX(N24-$B$11-$B$22,0)*($B$4+$B$3)),0)</f>
        <v>0</v>
      </c>
      <c r="Y24" s="10">
        <f t="shared" si="14"/>
        <v>0</v>
      </c>
      <c r="AA24" s="8">
        <f>IF(D24&gt;$B$21,0,$B$14*12*(1+$B$15)^(D24-1))</f>
        <v>0</v>
      </c>
      <c r="AB24" s="9">
        <f t="shared" si="1"/>
        <v>0</v>
      </c>
      <c r="AC24" s="9">
        <f t="shared" si="7"/>
        <v>0</v>
      </c>
      <c r="AD24" s="9">
        <f t="shared" si="8"/>
        <v>0</v>
      </c>
      <c r="AE24" s="9">
        <f t="shared" si="9"/>
        <v>0</v>
      </c>
      <c r="AF24" s="9">
        <f t="shared" si="15"/>
        <v>0</v>
      </c>
      <c r="AG24" s="9">
        <f t="shared" si="10"/>
        <v>0</v>
      </c>
      <c r="AH24" s="9">
        <f>IF(D24=$B$21,N24-J24,0)</f>
        <v>0</v>
      </c>
      <c r="AI24" s="9">
        <f>-IF(D24=$B$21,MAX(0,($B$11-G24))*MIN($B$2,$B$7)+MAX(0,N24-$B$11)*$B$4+MAX(0,N24-G24)*$B$3-IF($B$5="Yes",MAX(0,N24-G24)*$B$3*$B$2,0),0)</f>
        <v>0</v>
      </c>
      <c r="AJ24" s="10">
        <f t="shared" si="2"/>
        <v>0</v>
      </c>
      <c r="AL24" s="2">
        <f t="shared" si="3"/>
        <v>0</v>
      </c>
    </row>
    <row r="25" spans="1:38" ht="15" customHeight="1" x14ac:dyDescent="0.25">
      <c r="D25" s="16">
        <v>22</v>
      </c>
      <c r="E25" s="8">
        <f>IF(D25&gt;$B$21,0,$B$11*(1+$B$13)^D25)</f>
        <v>0</v>
      </c>
      <c r="F25" s="9">
        <f>IF(D25&gt;$B$21,0,G24-G25)</f>
        <v>0</v>
      </c>
      <c r="G25" s="9">
        <f t="shared" si="4"/>
        <v>0</v>
      </c>
      <c r="H25" s="9">
        <f>IF(D25&gt;$B$21,0,IF(D25&gt;$B$10,0,PMT($B$9,$B$10,$B$11*(1-$B$8))))</f>
        <v>0</v>
      </c>
      <c r="I25" s="9">
        <f>IF(D25&gt;$B$21,0,J24*$B$9)</f>
        <v>0</v>
      </c>
      <c r="J25" s="9">
        <f>IF(D25&gt;$B$21,0,J24+H25+I25)</f>
        <v>0</v>
      </c>
      <c r="K25" s="9">
        <f>-IF(D25&gt;$B$21,0,$B$16*(1+$B$17)^(D25-1)+$B$19*(1+$B$20)^(D25-1))</f>
        <v>0</v>
      </c>
      <c r="L25" s="9">
        <f>-IF(D25&gt;$B$21,0,IF(AND($B$18="yes",J25/E25&gt;0.8),$J$3/100000*55*12,0))</f>
        <v>0</v>
      </c>
      <c r="M25" s="9">
        <f>-E25*$B$23</f>
        <v>0</v>
      </c>
      <c r="N25" s="10">
        <f>IF(D25=$B$21,E25*(1-$B$24),0)</f>
        <v>0</v>
      </c>
      <c r="O25" s="1"/>
      <c r="P25" s="8">
        <f>IF(D25&gt;$B$21,0,$B$14*12*(1+$B$15)^(D25-1))</f>
        <v>0</v>
      </c>
      <c r="Q25" s="9">
        <f t="shared" si="0"/>
        <v>0</v>
      </c>
      <c r="R25" s="9">
        <f t="shared" si="11"/>
        <v>0</v>
      </c>
      <c r="S25" s="9">
        <f t="shared" si="5"/>
        <v>0</v>
      </c>
      <c r="T25" s="9">
        <f t="shared" si="6"/>
        <v>0</v>
      </c>
      <c r="U25" s="9">
        <f t="shared" si="12"/>
        <v>0</v>
      </c>
      <c r="V25" s="9">
        <f t="shared" si="13"/>
        <v>0</v>
      </c>
      <c r="W25" s="9">
        <f>IF(D25=$B$21,N25-J25,0)</f>
        <v>0</v>
      </c>
      <c r="X25" s="9">
        <f>-IF(D25=$B$21,IF($B$5="Yes",MAX(N25-$B$11-$B$22,0)*($B$4+$B$3-$B$3*$B$2),MAX(N25-$B$11-$B$22,0)*($B$4+$B$3)),0)</f>
        <v>0</v>
      </c>
      <c r="Y25" s="10">
        <f t="shared" si="14"/>
        <v>0</v>
      </c>
      <c r="AA25" s="8">
        <f>IF(D25&gt;$B$21,0,$B$14*12*(1+$B$15)^(D25-1))</f>
        <v>0</v>
      </c>
      <c r="AB25" s="9">
        <f t="shared" si="1"/>
        <v>0</v>
      </c>
      <c r="AC25" s="9">
        <f t="shared" si="7"/>
        <v>0</v>
      </c>
      <c r="AD25" s="9">
        <f t="shared" si="8"/>
        <v>0</v>
      </c>
      <c r="AE25" s="9">
        <f t="shared" si="9"/>
        <v>0</v>
      </c>
      <c r="AF25" s="9">
        <f t="shared" si="15"/>
        <v>0</v>
      </c>
      <c r="AG25" s="9">
        <f t="shared" si="10"/>
        <v>0</v>
      </c>
      <c r="AH25" s="9">
        <f>IF(D25=$B$21,N25-J25,0)</f>
        <v>0</v>
      </c>
      <c r="AI25" s="9">
        <f>-IF(D25=$B$21,MAX(0,($B$11-G25))*MIN($B$2,$B$7)+MAX(0,N25-$B$11)*$B$4+MAX(0,N25-G25)*$B$3-IF($B$5="Yes",MAX(0,N25-G25)*$B$3*$B$2,0),0)</f>
        <v>0</v>
      </c>
      <c r="AJ25" s="10">
        <f t="shared" si="2"/>
        <v>0</v>
      </c>
      <c r="AL25" s="2">
        <f t="shared" si="3"/>
        <v>0</v>
      </c>
    </row>
    <row r="26" spans="1:38" x14ac:dyDescent="0.25">
      <c r="A26" s="27" t="s">
        <v>43</v>
      </c>
      <c r="B26" s="28">
        <f>IRR(Y3:Y53)</f>
        <v>0.10443054193983969</v>
      </c>
      <c r="D26" s="16">
        <v>23</v>
      </c>
      <c r="E26" s="8">
        <f>IF(D26&gt;$B$21,0,$B$11*(1+$B$13)^D26)</f>
        <v>0</v>
      </c>
      <c r="F26" s="9">
        <f>IF(D26&gt;$B$21,0,G25-G26)</f>
        <v>0</v>
      </c>
      <c r="G26" s="9">
        <f t="shared" si="4"/>
        <v>0</v>
      </c>
      <c r="H26" s="9">
        <f>IF(D26&gt;$B$21,0,IF(D26&gt;$B$10,0,PMT($B$9,$B$10,$B$11*(1-$B$8))))</f>
        <v>0</v>
      </c>
      <c r="I26" s="9">
        <f>IF(D26&gt;$B$21,0,J25*$B$9)</f>
        <v>0</v>
      </c>
      <c r="J26" s="9">
        <f>IF(D26&gt;$B$21,0,J25+H26+I26)</f>
        <v>0</v>
      </c>
      <c r="K26" s="9">
        <f>-IF(D26&gt;$B$21,0,$B$16*(1+$B$17)^(D26-1)+$B$19*(1+$B$20)^(D26-1))</f>
        <v>0</v>
      </c>
      <c r="L26" s="9">
        <f>-IF(D26&gt;$B$21,0,IF(AND($B$18="yes",J26/E26&gt;0.8),$J$3/100000*55*12,0))</f>
        <v>0</v>
      </c>
      <c r="M26" s="9">
        <f>-E26*$B$23</f>
        <v>0</v>
      </c>
      <c r="N26" s="10">
        <f>IF(D26=$B$21,E26*(1-$B$24),0)</f>
        <v>0</v>
      </c>
      <c r="O26" s="1"/>
      <c r="P26" s="8">
        <f>IF(D26&gt;$B$21,0,$B$14*12*(1+$B$15)^(D26-1))</f>
        <v>0</v>
      </c>
      <c r="Q26" s="9">
        <f t="shared" si="0"/>
        <v>0</v>
      </c>
      <c r="R26" s="9">
        <f t="shared" si="11"/>
        <v>0</v>
      </c>
      <c r="S26" s="9">
        <f t="shared" si="5"/>
        <v>0</v>
      </c>
      <c r="T26" s="9">
        <f t="shared" si="6"/>
        <v>0</v>
      </c>
      <c r="U26" s="9">
        <f t="shared" si="12"/>
        <v>0</v>
      </c>
      <c r="V26" s="9">
        <f t="shared" si="13"/>
        <v>0</v>
      </c>
      <c r="W26" s="9">
        <f>IF(D26=$B$21,N26-J26,0)</f>
        <v>0</v>
      </c>
      <c r="X26" s="9">
        <f>-IF(D26=$B$21,IF($B$5="Yes",MAX(N26-$B$11-$B$22,0)*($B$4+$B$3-$B$3*$B$2),MAX(N26-$B$11-$B$22,0)*($B$4+$B$3)),0)</f>
        <v>0</v>
      </c>
      <c r="Y26" s="10">
        <f t="shared" si="14"/>
        <v>0</v>
      </c>
      <c r="AA26" s="8">
        <f>IF(D26&gt;$B$21,0,$B$14*12*(1+$B$15)^(D26-1))</f>
        <v>0</v>
      </c>
      <c r="AB26" s="9">
        <f t="shared" si="1"/>
        <v>0</v>
      </c>
      <c r="AC26" s="9">
        <f t="shared" si="7"/>
        <v>0</v>
      </c>
      <c r="AD26" s="9">
        <f t="shared" si="8"/>
        <v>0</v>
      </c>
      <c r="AE26" s="9">
        <f t="shared" si="9"/>
        <v>0</v>
      </c>
      <c r="AF26" s="9">
        <f t="shared" si="15"/>
        <v>0</v>
      </c>
      <c r="AG26" s="9">
        <f t="shared" si="10"/>
        <v>0</v>
      </c>
      <c r="AH26" s="9">
        <f>IF(D26=$B$21,N26-J26,0)</f>
        <v>0</v>
      </c>
      <c r="AI26" s="9">
        <f>-IF(D26=$B$21,MAX(0,($B$11-G26))*MIN($B$2,$B$7)+MAX(0,N26-$B$11)*$B$4+MAX(0,N26-G26)*$B$3-IF($B$5="Yes",MAX(0,N26-G26)*$B$3*$B$2,0),0)</f>
        <v>0</v>
      </c>
      <c r="AJ26" s="10">
        <f t="shared" si="2"/>
        <v>0</v>
      </c>
      <c r="AL26" s="2">
        <f t="shared" si="3"/>
        <v>0</v>
      </c>
    </row>
    <row r="27" spans="1:38" x14ac:dyDescent="0.25">
      <c r="A27" s="29" t="s">
        <v>44</v>
      </c>
      <c r="B27" s="30">
        <f>IRR(AJ3:AJ53)</f>
        <v>5.5875793893656045E-2</v>
      </c>
      <c r="D27" s="16">
        <v>24</v>
      </c>
      <c r="E27" s="8">
        <f>IF(D27&gt;$B$21,0,$B$11*(1+$B$13)^D27)</f>
        <v>0</v>
      </c>
      <c r="F27" s="9">
        <f>IF(D27&gt;$B$21,0,G26-G27)</f>
        <v>0</v>
      </c>
      <c r="G27" s="9">
        <f t="shared" si="4"/>
        <v>0</v>
      </c>
      <c r="H27" s="9">
        <f>IF(D27&gt;$B$21,0,IF(D27&gt;$B$10,0,PMT($B$9,$B$10,$B$11*(1-$B$8))))</f>
        <v>0</v>
      </c>
      <c r="I27" s="9">
        <f>IF(D27&gt;$B$21,0,J26*$B$9)</f>
        <v>0</v>
      </c>
      <c r="J27" s="9">
        <f>IF(D27&gt;$B$21,0,J26+H27+I27)</f>
        <v>0</v>
      </c>
      <c r="K27" s="9">
        <f>-IF(D27&gt;$B$21,0,$B$16*(1+$B$17)^(D27-1)+$B$19*(1+$B$20)^(D27-1))</f>
        <v>0</v>
      </c>
      <c r="L27" s="9">
        <f>-IF(D27&gt;$B$21,0,IF(AND($B$18="yes",J27/E27&gt;0.8),$J$3/100000*55*12,0))</f>
        <v>0</v>
      </c>
      <c r="M27" s="9">
        <f>-E27*$B$23</f>
        <v>0</v>
      </c>
      <c r="N27" s="10">
        <f>IF(D27=$B$21,E27*(1-$B$24),0)</f>
        <v>0</v>
      </c>
      <c r="O27" s="1"/>
      <c r="P27" s="8">
        <f>IF(D27&gt;$B$21,0,$B$14*12*(1+$B$15)^(D27-1))</f>
        <v>0</v>
      </c>
      <c r="Q27" s="9">
        <f t="shared" si="0"/>
        <v>0</v>
      </c>
      <c r="R27" s="9">
        <f t="shared" si="11"/>
        <v>0</v>
      </c>
      <c r="S27" s="9">
        <f t="shared" si="5"/>
        <v>0</v>
      </c>
      <c r="T27" s="9">
        <f t="shared" si="6"/>
        <v>0</v>
      </c>
      <c r="U27" s="9">
        <f t="shared" si="12"/>
        <v>0</v>
      </c>
      <c r="V27" s="9">
        <f t="shared" si="13"/>
        <v>0</v>
      </c>
      <c r="W27" s="9">
        <f>IF(D27=$B$21,N27-J27,0)</f>
        <v>0</v>
      </c>
      <c r="X27" s="9">
        <f>-IF(D27=$B$21,IF($B$5="Yes",MAX(N27-$B$11-$B$22,0)*($B$4+$B$3-$B$3*$B$2),MAX(N27-$B$11-$B$22,0)*($B$4+$B$3)),0)</f>
        <v>0</v>
      </c>
      <c r="Y27" s="10">
        <f t="shared" si="14"/>
        <v>0</v>
      </c>
      <c r="AA27" s="8">
        <f>IF(D27&gt;$B$21,0,$B$14*12*(1+$B$15)^(D27-1))</f>
        <v>0</v>
      </c>
      <c r="AB27" s="9">
        <f t="shared" si="1"/>
        <v>0</v>
      </c>
      <c r="AC27" s="9">
        <f t="shared" si="7"/>
        <v>0</v>
      </c>
      <c r="AD27" s="9">
        <f t="shared" si="8"/>
        <v>0</v>
      </c>
      <c r="AE27" s="9">
        <f t="shared" si="9"/>
        <v>0</v>
      </c>
      <c r="AF27" s="9">
        <f t="shared" si="15"/>
        <v>0</v>
      </c>
      <c r="AG27" s="9">
        <f t="shared" si="10"/>
        <v>0</v>
      </c>
      <c r="AH27" s="9">
        <f>IF(D27=$B$21,N27-J27,0)</f>
        <v>0</v>
      </c>
      <c r="AI27" s="9">
        <f>-IF(D27=$B$21,MAX(0,($B$11-G27))*MIN($B$2,$B$7)+MAX(0,N27-$B$11)*$B$4+MAX(0,N27-G27)*$B$3-IF($B$5="Yes",MAX(0,N27-G27)*$B$3*$B$2,0),0)</f>
        <v>0</v>
      </c>
      <c r="AJ27" s="10">
        <f t="shared" si="2"/>
        <v>0</v>
      </c>
      <c r="AL27" s="2">
        <f t="shared" si="3"/>
        <v>0</v>
      </c>
    </row>
    <row r="28" spans="1:38" x14ac:dyDescent="0.25">
      <c r="D28" s="16">
        <v>25</v>
      </c>
      <c r="E28" s="8">
        <f>IF(D28&gt;$B$21,0,$B$11*(1+$B$13)^D28)</f>
        <v>0</v>
      </c>
      <c r="F28" s="9">
        <f>IF(D28&gt;$B$21,0,G27-G28)</f>
        <v>0</v>
      </c>
      <c r="G28" s="9">
        <f t="shared" si="4"/>
        <v>0</v>
      </c>
      <c r="H28" s="9">
        <f>IF(D28&gt;$B$21,0,IF(D28&gt;$B$10,0,PMT($B$9,$B$10,$B$11*(1-$B$8))))</f>
        <v>0</v>
      </c>
      <c r="I28" s="9">
        <f>IF(D28&gt;$B$21,0,J27*$B$9)</f>
        <v>0</v>
      </c>
      <c r="J28" s="9">
        <f>IF(D28&gt;$B$21,0,J27+H28+I28)</f>
        <v>0</v>
      </c>
      <c r="K28" s="9">
        <f>-IF(D28&gt;$B$21,0,$B$16*(1+$B$17)^(D28-1)+$B$19*(1+$B$20)^(D28-1))</f>
        <v>0</v>
      </c>
      <c r="L28" s="9">
        <f>-IF(D28&gt;$B$21,0,IF(AND($B$18="yes",J28/E28&gt;0.8),$J$3/100000*55*12,0))</f>
        <v>0</v>
      </c>
      <c r="M28" s="9">
        <f>-E28*$B$23</f>
        <v>0</v>
      </c>
      <c r="N28" s="10">
        <f>IF(D28=$B$21,E28*(1-$B$24),0)</f>
        <v>0</v>
      </c>
      <c r="O28" s="1"/>
      <c r="P28" s="8">
        <f>IF(D28&gt;$B$21,0,$B$14*12*(1+$B$15)^(D28-1))</f>
        <v>0</v>
      </c>
      <c r="Q28" s="9">
        <f t="shared" si="0"/>
        <v>0</v>
      </c>
      <c r="R28" s="9">
        <f t="shared" si="11"/>
        <v>0</v>
      </c>
      <c r="S28" s="9">
        <f t="shared" si="5"/>
        <v>0</v>
      </c>
      <c r="T28" s="9">
        <f t="shared" si="6"/>
        <v>0</v>
      </c>
      <c r="U28" s="9">
        <f t="shared" si="12"/>
        <v>0</v>
      </c>
      <c r="V28" s="9">
        <f t="shared" si="13"/>
        <v>0</v>
      </c>
      <c r="W28" s="9">
        <f>IF(D28=$B$21,N28-J28,0)</f>
        <v>0</v>
      </c>
      <c r="X28" s="9">
        <f>-IF(D28=$B$21,IF($B$5="Yes",MAX(N28-$B$11-$B$22,0)*($B$4+$B$3-$B$3*$B$2),MAX(N28-$B$11-$B$22,0)*($B$4+$B$3)),0)</f>
        <v>0</v>
      </c>
      <c r="Y28" s="10">
        <f t="shared" si="14"/>
        <v>0</v>
      </c>
      <c r="AA28" s="8">
        <f>IF(D28&gt;$B$21,0,$B$14*12*(1+$B$15)^(D28-1))</f>
        <v>0</v>
      </c>
      <c r="AB28" s="9">
        <f t="shared" si="1"/>
        <v>0</v>
      </c>
      <c r="AC28" s="9">
        <f t="shared" si="7"/>
        <v>0</v>
      </c>
      <c r="AD28" s="9">
        <f t="shared" si="8"/>
        <v>0</v>
      </c>
      <c r="AE28" s="9">
        <f t="shared" si="9"/>
        <v>0</v>
      </c>
      <c r="AF28" s="9">
        <f t="shared" si="15"/>
        <v>0</v>
      </c>
      <c r="AG28" s="9">
        <f t="shared" si="10"/>
        <v>0</v>
      </c>
      <c r="AH28" s="9">
        <f>IF(D28=$B$21,N28-J28,0)</f>
        <v>0</v>
      </c>
      <c r="AI28" s="9">
        <f>-IF(D28=$B$21,MAX(0,($B$11-G28))*MIN($B$2,$B$7)+MAX(0,N28-$B$11)*$B$4+MAX(0,N28-G28)*$B$3-IF($B$5="Yes",MAX(0,N28-G28)*$B$3*$B$2,0),0)</f>
        <v>0</v>
      </c>
      <c r="AJ28" s="10">
        <f t="shared" si="2"/>
        <v>0</v>
      </c>
      <c r="AL28" s="2">
        <f t="shared" si="3"/>
        <v>0</v>
      </c>
    </row>
    <row r="29" spans="1:38" x14ac:dyDescent="0.25">
      <c r="A29" s="37" t="s">
        <v>37</v>
      </c>
      <c r="B29" s="38"/>
      <c r="D29" s="16">
        <v>26</v>
      </c>
      <c r="E29" s="8">
        <f>IF(D29&gt;$B$21,0,$B$11*(1+$B$13)^D29)</f>
        <v>0</v>
      </c>
      <c r="F29" s="9">
        <f>IF(D29&gt;$B$21,0,G28-G29)</f>
        <v>0</v>
      </c>
      <c r="G29" s="9">
        <f t="shared" si="4"/>
        <v>0</v>
      </c>
      <c r="H29" s="9">
        <f>IF(D29&gt;$B$21,0,IF(D29&gt;$B$10,0,PMT($B$9,$B$10,$B$11*(1-$B$8))))</f>
        <v>0</v>
      </c>
      <c r="I29" s="9">
        <f>IF(D29&gt;$B$21,0,J28*$B$9)</f>
        <v>0</v>
      </c>
      <c r="J29" s="9">
        <f>IF(D29&gt;$B$21,0,J28+H29+I29)</f>
        <v>0</v>
      </c>
      <c r="K29" s="9">
        <f>-IF(D29&gt;$B$21,0,$B$16*(1+$B$17)^(D29-1)+$B$19*(1+$B$20)^(D29-1))</f>
        <v>0</v>
      </c>
      <c r="L29" s="9">
        <f>-IF(D29&gt;$B$21,0,IF(AND($B$18="yes",J29/E29&gt;0.8),$J$3/100000*55*12,0))</f>
        <v>0</v>
      </c>
      <c r="M29" s="9">
        <f>-E29*$B$23</f>
        <v>0</v>
      </c>
      <c r="N29" s="10">
        <f>IF(D29=$B$21,E29*(1-$B$24),0)</f>
        <v>0</v>
      </c>
      <c r="O29" s="1"/>
      <c r="P29" s="8">
        <f>IF(D29&gt;$B$21,0,$B$14*12*(1+$B$15)^(D29-1))</f>
        <v>0</v>
      </c>
      <c r="Q29" s="9">
        <f t="shared" si="0"/>
        <v>0</v>
      </c>
      <c r="R29" s="9">
        <f t="shared" si="11"/>
        <v>0</v>
      </c>
      <c r="S29" s="9">
        <f t="shared" si="5"/>
        <v>0</v>
      </c>
      <c r="T29" s="9">
        <f t="shared" si="6"/>
        <v>0</v>
      </c>
      <c r="U29" s="9">
        <f t="shared" si="12"/>
        <v>0</v>
      </c>
      <c r="V29" s="9">
        <f t="shared" si="13"/>
        <v>0</v>
      </c>
      <c r="W29" s="9">
        <f>IF(D29=$B$21,N29-J29,0)</f>
        <v>0</v>
      </c>
      <c r="X29" s="9">
        <f>-IF(D29=$B$21,IF($B$5="Yes",MAX(N29-$B$11-$B$22,0)*($B$4+$B$3-$B$3*$B$2),MAX(N29-$B$11-$B$22,0)*($B$4+$B$3)),0)</f>
        <v>0</v>
      </c>
      <c r="Y29" s="10">
        <f t="shared" si="14"/>
        <v>0</v>
      </c>
      <c r="AA29" s="8">
        <f>IF(D29&gt;$B$21,0,$B$14*12*(1+$B$15)^(D29-1))</f>
        <v>0</v>
      </c>
      <c r="AB29" s="9">
        <f t="shared" si="1"/>
        <v>0</v>
      </c>
      <c r="AC29" s="9">
        <f t="shared" si="7"/>
        <v>0</v>
      </c>
      <c r="AD29" s="9">
        <f t="shared" si="8"/>
        <v>0</v>
      </c>
      <c r="AE29" s="9">
        <f t="shared" si="9"/>
        <v>0</v>
      </c>
      <c r="AF29" s="9">
        <f t="shared" si="15"/>
        <v>0</v>
      </c>
      <c r="AG29" s="9">
        <f t="shared" si="10"/>
        <v>0</v>
      </c>
      <c r="AH29" s="9">
        <f>IF(D29=$B$21,N29-J29,0)</f>
        <v>0</v>
      </c>
      <c r="AI29" s="9">
        <f>-IF(D29=$B$21,MAX(0,($B$11-G29))*MIN($B$2,$B$7)+MAX(0,N29-$B$11)*$B$4+MAX(0,N29-G29)*$B$3-IF($B$5="Yes",MAX(0,N29-G29)*$B$3*$B$2,0),0)</f>
        <v>0</v>
      </c>
      <c r="AJ29" s="10">
        <f t="shared" si="2"/>
        <v>0</v>
      </c>
      <c r="AL29" s="2">
        <f t="shared" si="3"/>
        <v>0</v>
      </c>
    </row>
    <row r="30" spans="1:38" x14ac:dyDescent="0.25">
      <c r="A30" s="41" t="s">
        <v>38</v>
      </c>
      <c r="B30" s="42"/>
      <c r="D30" s="16">
        <v>27</v>
      </c>
      <c r="E30" s="8">
        <f>IF(D30&gt;$B$21,0,$B$11*(1+$B$13)^D30)</f>
        <v>0</v>
      </c>
      <c r="F30" s="9">
        <f>IF(D30&gt;$B$21,0,G29-G30)</f>
        <v>0</v>
      </c>
      <c r="G30" s="9">
        <f t="shared" si="4"/>
        <v>0</v>
      </c>
      <c r="H30" s="9">
        <f>IF(D30&gt;$B$21,0,IF(D30&gt;$B$10,0,PMT($B$9,$B$10,$B$11*(1-$B$8))))</f>
        <v>0</v>
      </c>
      <c r="I30" s="9">
        <f>IF(D30&gt;$B$21,0,J29*$B$9)</f>
        <v>0</v>
      </c>
      <c r="J30" s="9">
        <f>IF(D30&gt;$B$21,0,J29+H30+I30)</f>
        <v>0</v>
      </c>
      <c r="K30" s="9">
        <f>-IF(D30&gt;$B$21,0,$B$16*(1+$B$17)^(D30-1)+$B$19*(1+$B$20)^(D30-1))</f>
        <v>0</v>
      </c>
      <c r="L30" s="9">
        <f>-IF(D30&gt;$B$21,0,IF(AND($B$18="yes",J30/E30&gt;0.8),$J$3/100000*55*12,0))</f>
        <v>0</v>
      </c>
      <c r="M30" s="9">
        <f>-E30*$B$23</f>
        <v>0</v>
      </c>
      <c r="N30" s="10">
        <f>IF(D30=$B$21,E30*(1-$B$24),0)</f>
        <v>0</v>
      </c>
      <c r="O30" s="1"/>
      <c r="P30" s="8">
        <f>IF(D30&gt;$B$21,0,$B$14*12*(1+$B$15)^(D30-1))</f>
        <v>0</v>
      </c>
      <c r="Q30" s="9">
        <f t="shared" si="0"/>
        <v>0</v>
      </c>
      <c r="R30" s="9">
        <f t="shared" si="11"/>
        <v>0</v>
      </c>
      <c r="S30" s="9">
        <f t="shared" si="5"/>
        <v>0</v>
      </c>
      <c r="T30" s="9">
        <f t="shared" si="6"/>
        <v>0</v>
      </c>
      <c r="U30" s="9">
        <f t="shared" si="12"/>
        <v>0</v>
      </c>
      <c r="V30" s="9">
        <f t="shared" si="13"/>
        <v>0</v>
      </c>
      <c r="W30" s="9">
        <f>IF(D30=$B$21,N30-J30,0)</f>
        <v>0</v>
      </c>
      <c r="X30" s="9">
        <f>-IF(D30=$B$21,IF($B$5="Yes",MAX(N30-$B$11-$B$22,0)*($B$4+$B$3-$B$3*$B$2),MAX(N30-$B$11-$B$22,0)*($B$4+$B$3)),0)</f>
        <v>0</v>
      </c>
      <c r="Y30" s="10">
        <f t="shared" si="14"/>
        <v>0</v>
      </c>
      <c r="AA30" s="8">
        <f>IF(D30&gt;$B$21,0,$B$14*12*(1+$B$15)^(D30-1))</f>
        <v>0</v>
      </c>
      <c r="AB30" s="9">
        <f t="shared" si="1"/>
        <v>0</v>
      </c>
      <c r="AC30" s="9">
        <f t="shared" si="7"/>
        <v>0</v>
      </c>
      <c r="AD30" s="9">
        <f t="shared" si="8"/>
        <v>0</v>
      </c>
      <c r="AE30" s="9">
        <f t="shared" si="9"/>
        <v>0</v>
      </c>
      <c r="AF30" s="9">
        <f t="shared" si="15"/>
        <v>0</v>
      </c>
      <c r="AG30" s="9">
        <f t="shared" si="10"/>
        <v>0</v>
      </c>
      <c r="AH30" s="9">
        <f>IF(D30=$B$21,N30-J30,0)</f>
        <v>0</v>
      </c>
      <c r="AI30" s="9">
        <f>-IF(D30=$B$21,MAX(0,($B$11-G30))*MIN($B$2,$B$7)+MAX(0,N30-$B$11)*$B$4+MAX(0,N30-G30)*$B$3-IF($B$5="Yes",MAX(0,N30-G30)*$B$3*$B$2,0),0)</f>
        <v>0</v>
      </c>
      <c r="AJ30" s="10">
        <f t="shared" si="2"/>
        <v>0</v>
      </c>
      <c r="AL30" s="2">
        <f t="shared" si="3"/>
        <v>0</v>
      </c>
    </row>
    <row r="31" spans="1:38" x14ac:dyDescent="0.25">
      <c r="A31" s="41"/>
      <c r="B31" s="42"/>
      <c r="D31" s="16">
        <v>28</v>
      </c>
      <c r="E31" s="8">
        <f>IF(D31&gt;$B$21,0,$B$11*(1+$B$13)^D31)</f>
        <v>0</v>
      </c>
      <c r="F31" s="9">
        <f>IF(D31&gt;$B$21,0,G30-G31)</f>
        <v>0</v>
      </c>
      <c r="G31" s="9">
        <f t="shared" si="4"/>
        <v>0</v>
      </c>
      <c r="H31" s="9">
        <f>IF(D31&gt;$B$21,0,IF(D31&gt;$B$10,0,PMT($B$9,$B$10,$B$11*(1-$B$8))))</f>
        <v>0</v>
      </c>
      <c r="I31" s="9">
        <f>IF(D31&gt;$B$21,0,J30*$B$9)</f>
        <v>0</v>
      </c>
      <c r="J31" s="9">
        <f>IF(D31&gt;$B$21,0,J30+H31+I31)</f>
        <v>0</v>
      </c>
      <c r="K31" s="9">
        <f>-IF(D31&gt;$B$21,0,$B$16*(1+$B$17)^(D31-1)+$B$19*(1+$B$20)^(D31-1))</f>
        <v>0</v>
      </c>
      <c r="L31" s="9">
        <f>-IF(D31&gt;$B$21,0,IF(AND($B$18="yes",J31/E31&gt;0.8),$J$3/100000*55*12,0))</f>
        <v>0</v>
      </c>
      <c r="M31" s="9">
        <f>-E31*$B$23</f>
        <v>0</v>
      </c>
      <c r="N31" s="10">
        <f>IF(D31=$B$21,E31*(1-$B$24),0)</f>
        <v>0</v>
      </c>
      <c r="O31" s="1"/>
      <c r="P31" s="8">
        <f>IF(D31&gt;$B$21,0,$B$14*12*(1+$B$15)^(D31-1))</f>
        <v>0</v>
      </c>
      <c r="Q31" s="9">
        <f t="shared" si="0"/>
        <v>0</v>
      </c>
      <c r="R31" s="9">
        <f t="shared" si="11"/>
        <v>0</v>
      </c>
      <c r="S31" s="9">
        <f t="shared" si="5"/>
        <v>0</v>
      </c>
      <c r="T31" s="9">
        <f t="shared" si="6"/>
        <v>0</v>
      </c>
      <c r="U31" s="9">
        <f t="shared" si="12"/>
        <v>0</v>
      </c>
      <c r="V31" s="9">
        <f t="shared" si="13"/>
        <v>0</v>
      </c>
      <c r="W31" s="9">
        <f>IF(D31=$B$21,N31-J31,0)</f>
        <v>0</v>
      </c>
      <c r="X31" s="9">
        <f>-IF(D31=$B$21,IF($B$5="Yes",MAX(N31-$B$11-$B$22,0)*($B$4+$B$3-$B$3*$B$2),MAX(N31-$B$11-$B$22,0)*($B$4+$B$3)),0)</f>
        <v>0</v>
      </c>
      <c r="Y31" s="10">
        <f t="shared" si="14"/>
        <v>0</v>
      </c>
      <c r="AA31" s="8">
        <f>IF(D31&gt;$B$21,0,$B$14*12*(1+$B$15)^(D31-1))</f>
        <v>0</v>
      </c>
      <c r="AB31" s="9">
        <f t="shared" si="1"/>
        <v>0</v>
      </c>
      <c r="AC31" s="9">
        <f t="shared" si="7"/>
        <v>0</v>
      </c>
      <c r="AD31" s="9">
        <f t="shared" si="8"/>
        <v>0</v>
      </c>
      <c r="AE31" s="9">
        <f t="shared" si="9"/>
        <v>0</v>
      </c>
      <c r="AF31" s="9">
        <f t="shared" si="15"/>
        <v>0</v>
      </c>
      <c r="AG31" s="9">
        <f t="shared" si="10"/>
        <v>0</v>
      </c>
      <c r="AH31" s="9">
        <f>IF(D31=$B$21,N31-J31,0)</f>
        <v>0</v>
      </c>
      <c r="AI31" s="9">
        <f>-IF(D31=$B$21,MAX(0,($B$11-G31))*MIN($B$2,$B$7)+MAX(0,N31-$B$11)*$B$4+MAX(0,N31-G31)*$B$3-IF($B$5="Yes",MAX(0,N31-G31)*$B$3*$B$2,0),0)</f>
        <v>0</v>
      </c>
      <c r="AJ31" s="10">
        <f t="shared" si="2"/>
        <v>0</v>
      </c>
      <c r="AL31" s="2">
        <f t="shared" si="3"/>
        <v>0</v>
      </c>
    </row>
    <row r="32" spans="1:38" x14ac:dyDescent="0.25">
      <c r="A32" s="39" t="s">
        <v>36</v>
      </c>
      <c r="B32" s="40"/>
      <c r="D32" s="16">
        <v>29</v>
      </c>
      <c r="E32" s="8">
        <f>IF(D32&gt;$B$21,0,$B$11*(1+$B$13)^D32)</f>
        <v>0</v>
      </c>
      <c r="F32" s="9">
        <f>IF(D32&gt;$B$21,0,G31-G32)</f>
        <v>0</v>
      </c>
      <c r="G32" s="9">
        <f t="shared" si="4"/>
        <v>0</v>
      </c>
      <c r="H32" s="9">
        <f>IF(D32&gt;$B$21,0,IF(D32&gt;$B$10,0,PMT($B$9,$B$10,$B$11*(1-$B$8))))</f>
        <v>0</v>
      </c>
      <c r="I32" s="9">
        <f>IF(D32&gt;$B$21,0,J31*$B$9)</f>
        <v>0</v>
      </c>
      <c r="J32" s="9">
        <f>IF(D32&gt;$B$21,0,J31+H32+I32)</f>
        <v>0</v>
      </c>
      <c r="K32" s="9">
        <f>-IF(D32&gt;$B$21,0,$B$16*(1+$B$17)^(D32-1)+$B$19*(1+$B$20)^(D32-1))</f>
        <v>0</v>
      </c>
      <c r="L32" s="9">
        <f>-IF(D32&gt;$B$21,0,IF(AND($B$18="yes",J32/E32&gt;0.8),$J$3/100000*55*12,0))</f>
        <v>0</v>
      </c>
      <c r="M32" s="9">
        <f>-E32*$B$23</f>
        <v>0</v>
      </c>
      <c r="N32" s="10">
        <f>IF(D32=$B$21,E32*(1-$B$24),0)</f>
        <v>0</v>
      </c>
      <c r="O32" s="1"/>
      <c r="P32" s="8">
        <f>IF(D32&gt;$B$21,0,$B$14*12*(1+$B$15)^(D32-1))</f>
        <v>0</v>
      </c>
      <c r="Q32" s="9">
        <f t="shared" si="0"/>
        <v>0</v>
      </c>
      <c r="R32" s="9">
        <f t="shared" si="11"/>
        <v>0</v>
      </c>
      <c r="S32" s="9">
        <f t="shared" si="5"/>
        <v>0</v>
      </c>
      <c r="T32" s="9">
        <f t="shared" si="6"/>
        <v>0</v>
      </c>
      <c r="U32" s="9">
        <f t="shared" si="12"/>
        <v>0</v>
      </c>
      <c r="V32" s="9">
        <f t="shared" si="13"/>
        <v>0</v>
      </c>
      <c r="W32" s="9">
        <f>IF(D32=$B$21,N32-J32,0)</f>
        <v>0</v>
      </c>
      <c r="X32" s="9">
        <f>-IF(D32=$B$21,IF($B$5="Yes",MAX(N32-$B$11-$B$22,0)*($B$4+$B$3-$B$3*$B$2),MAX(N32-$B$11-$B$22,0)*($B$4+$B$3)),0)</f>
        <v>0</v>
      </c>
      <c r="Y32" s="10">
        <f t="shared" si="14"/>
        <v>0</v>
      </c>
      <c r="AA32" s="8">
        <f>IF(D32&gt;$B$21,0,$B$14*12*(1+$B$15)^(D32-1))</f>
        <v>0</v>
      </c>
      <c r="AB32" s="9">
        <f t="shared" si="1"/>
        <v>0</v>
      </c>
      <c r="AC32" s="9">
        <f t="shared" si="7"/>
        <v>0</v>
      </c>
      <c r="AD32" s="9">
        <f t="shared" si="8"/>
        <v>0</v>
      </c>
      <c r="AE32" s="9">
        <f t="shared" si="9"/>
        <v>0</v>
      </c>
      <c r="AF32" s="9">
        <f t="shared" si="15"/>
        <v>0</v>
      </c>
      <c r="AG32" s="9">
        <f t="shared" si="10"/>
        <v>0</v>
      </c>
      <c r="AH32" s="9">
        <f>IF(D32=$B$21,N32-J32,0)</f>
        <v>0</v>
      </c>
      <c r="AI32" s="9">
        <f>-IF(D32=$B$21,MAX(0,($B$11-G32))*MIN($B$2,$B$7)+MAX(0,N32-$B$11)*$B$4+MAX(0,N32-G32)*$B$3-IF($B$5="Yes",MAX(0,N32-G32)*$B$3*$B$2,0),0)</f>
        <v>0</v>
      </c>
      <c r="AJ32" s="10">
        <f t="shared" si="2"/>
        <v>0</v>
      </c>
      <c r="AL32" s="2">
        <f t="shared" si="3"/>
        <v>0</v>
      </c>
    </row>
    <row r="33" spans="1:38" x14ac:dyDescent="0.25">
      <c r="A33" s="35" t="s">
        <v>35</v>
      </c>
      <c r="B33" s="36"/>
      <c r="D33" s="16">
        <v>30</v>
      </c>
      <c r="E33" s="8">
        <f>IF(D33&gt;$B$21,0,$B$11*(1+$B$13)^D33)</f>
        <v>0</v>
      </c>
      <c r="F33" s="9">
        <f>IF(D33&gt;$B$21,0,G32-G33)</f>
        <v>0</v>
      </c>
      <c r="G33" s="9">
        <f t="shared" si="4"/>
        <v>0</v>
      </c>
      <c r="H33" s="9">
        <f>IF(D33&gt;$B$21,0,IF(D33&gt;$B$10,0,PMT($B$9,$B$10,$B$11*(1-$B$8))))</f>
        <v>0</v>
      </c>
      <c r="I33" s="9">
        <f>IF(D33&gt;$B$21,0,J32*$B$9)</f>
        <v>0</v>
      </c>
      <c r="J33" s="9">
        <f>IF(D33&gt;$B$21,0,J32+H33+I33)</f>
        <v>0</v>
      </c>
      <c r="K33" s="9">
        <f>-IF(D33&gt;$B$21,0,$B$16*(1+$B$17)^(D33-1)+$B$19*(1+$B$20)^(D33-1))</f>
        <v>0</v>
      </c>
      <c r="L33" s="9">
        <f>-IF(D33&gt;$B$21,0,IF(AND($B$18="yes",J33/E33&gt;0.8),$J$3/100000*55*12,0))</f>
        <v>0</v>
      </c>
      <c r="M33" s="9">
        <f>-E33*$B$23</f>
        <v>0</v>
      </c>
      <c r="N33" s="10">
        <f>IF(D33=$B$21,E33*(1-$B$24),0)</f>
        <v>0</v>
      </c>
      <c r="O33" s="1"/>
      <c r="P33" s="8">
        <f>IF(D33&gt;$B$21,0,$B$14*12*(1+$B$15)^(D33-1))</f>
        <v>0</v>
      </c>
      <c r="Q33" s="9">
        <f t="shared" si="0"/>
        <v>0</v>
      </c>
      <c r="R33" s="9">
        <f t="shared" si="11"/>
        <v>0</v>
      </c>
      <c r="S33" s="9">
        <f t="shared" si="5"/>
        <v>0</v>
      </c>
      <c r="T33" s="9">
        <f t="shared" si="6"/>
        <v>0</v>
      </c>
      <c r="U33" s="9">
        <f t="shared" si="12"/>
        <v>0</v>
      </c>
      <c r="V33" s="9">
        <f t="shared" si="13"/>
        <v>0</v>
      </c>
      <c r="W33" s="9">
        <f>IF(D33=$B$21,N33-J33,0)</f>
        <v>0</v>
      </c>
      <c r="X33" s="9">
        <f>-IF(D33=$B$21,IF($B$5="Yes",MAX(N33-$B$11-$B$22,0)*($B$4+$B$3-$B$3*$B$2),MAX(N33-$B$11-$B$22,0)*($B$4+$B$3)),0)</f>
        <v>0</v>
      </c>
      <c r="Y33" s="10">
        <f t="shared" si="14"/>
        <v>0</v>
      </c>
      <c r="AA33" s="8">
        <f>IF(D33&gt;$B$21,0,$B$14*12*(1+$B$15)^(D33-1))</f>
        <v>0</v>
      </c>
      <c r="AB33" s="9">
        <f t="shared" si="1"/>
        <v>0</v>
      </c>
      <c r="AC33" s="9">
        <f t="shared" si="7"/>
        <v>0</v>
      </c>
      <c r="AD33" s="9">
        <f t="shared" si="8"/>
        <v>0</v>
      </c>
      <c r="AE33" s="9">
        <f t="shared" si="9"/>
        <v>0</v>
      </c>
      <c r="AF33" s="9">
        <f t="shared" si="15"/>
        <v>0</v>
      </c>
      <c r="AG33" s="9">
        <f t="shared" si="10"/>
        <v>0</v>
      </c>
      <c r="AH33" s="9">
        <f>IF(D33=$B$21,N33-J33,0)</f>
        <v>0</v>
      </c>
      <c r="AI33" s="9">
        <f>-IF(D33=$B$21,MAX(0,($B$11-G33))*MIN($B$2,$B$7)+MAX(0,N33-$B$11)*$B$4+MAX(0,N33-G33)*$B$3-IF($B$5="Yes",MAX(0,N33-G33)*$B$3*$B$2,0),0)</f>
        <v>0</v>
      </c>
      <c r="AJ33" s="10">
        <f t="shared" si="2"/>
        <v>0</v>
      </c>
      <c r="AL33" s="2">
        <f t="shared" si="3"/>
        <v>0</v>
      </c>
    </row>
    <row r="34" spans="1:38" x14ac:dyDescent="0.25">
      <c r="D34" s="16">
        <v>31</v>
      </c>
      <c r="E34" s="8">
        <f>IF(D34&gt;$B$21,0,$B$11*(1+$B$13)^D34)</f>
        <v>0</v>
      </c>
      <c r="F34" s="9">
        <f>IF(D34&gt;$B$21,0,G33-G34)</f>
        <v>0</v>
      </c>
      <c r="G34" s="9">
        <f t="shared" si="4"/>
        <v>0</v>
      </c>
      <c r="H34" s="9">
        <f>IF(D34&gt;$B$21,0,IF(D34&gt;$B$10,0,PMT($B$9,$B$10,$B$11*(1-$B$8))))</f>
        <v>0</v>
      </c>
      <c r="I34" s="9">
        <f>IF(D34&gt;$B$21,0,J33*$B$9)</f>
        <v>0</v>
      </c>
      <c r="J34" s="9">
        <f>IF(D34&gt;$B$21,0,J33+H34+I34)</f>
        <v>0</v>
      </c>
      <c r="K34" s="9">
        <f>-IF(D34&gt;$B$21,0,$B$16*(1+$B$17)^(D34-1)+$B$19*(1+$B$20)^(D34-1))</f>
        <v>0</v>
      </c>
      <c r="L34" s="9">
        <f>-IF(D34&gt;$B$21,0,IF(AND($B$18="yes",J34/E34&gt;0.8),$J$3/100000*55*12,0))</f>
        <v>0</v>
      </c>
      <c r="M34" s="9">
        <f>-E34*$B$23</f>
        <v>0</v>
      </c>
      <c r="N34" s="10">
        <f>IF(D34=$B$21,E34*(1-$B$24),0)</f>
        <v>0</v>
      </c>
      <c r="O34" s="1"/>
      <c r="P34" s="8">
        <f>IF(D34&gt;$B$21,0,$B$14*12*(1+$B$15)^(D34-1))</f>
        <v>0</v>
      </c>
      <c r="Q34" s="9">
        <f t="shared" si="0"/>
        <v>0</v>
      </c>
      <c r="R34" s="9">
        <f t="shared" si="11"/>
        <v>0</v>
      </c>
      <c r="S34" s="9">
        <f t="shared" si="5"/>
        <v>0</v>
      </c>
      <c r="T34" s="9">
        <f t="shared" si="6"/>
        <v>0</v>
      </c>
      <c r="U34" s="9">
        <f t="shared" si="12"/>
        <v>0</v>
      </c>
      <c r="V34" s="9">
        <f t="shared" si="13"/>
        <v>0</v>
      </c>
      <c r="W34" s="9">
        <f>IF(D34=$B$21,N34-J34,0)</f>
        <v>0</v>
      </c>
      <c r="X34" s="9">
        <f>-IF(D34=$B$21,IF($B$5="Yes",MAX(N34-$B$11-$B$22,0)*($B$4+$B$3-$B$3*$B$2),MAX(N34-$B$11-$B$22,0)*($B$4+$B$3)),0)</f>
        <v>0</v>
      </c>
      <c r="Y34" s="10">
        <f t="shared" si="14"/>
        <v>0</v>
      </c>
      <c r="AA34" s="8">
        <f>IF(D34&gt;$B$21,0,$B$14*12*(1+$B$15)^(D34-1))</f>
        <v>0</v>
      </c>
      <c r="AB34" s="9">
        <f t="shared" si="1"/>
        <v>0</v>
      </c>
      <c r="AC34" s="9">
        <f t="shared" si="7"/>
        <v>0</v>
      </c>
      <c r="AD34" s="9">
        <f t="shared" si="8"/>
        <v>0</v>
      </c>
      <c r="AE34" s="9">
        <f t="shared" si="9"/>
        <v>0</v>
      </c>
      <c r="AF34" s="9">
        <f t="shared" si="15"/>
        <v>0</v>
      </c>
      <c r="AG34" s="9">
        <f t="shared" si="10"/>
        <v>0</v>
      </c>
      <c r="AH34" s="9">
        <f>IF(D34=$B$21,N34-J34,0)</f>
        <v>0</v>
      </c>
      <c r="AI34" s="9">
        <f>-IF(D34=$B$21,MAX(0,($B$11-G34))*MIN($B$2,$B$7)+MAX(0,N34-$B$11)*$B$4+MAX(0,N34-G34)*$B$3-IF($B$5="Yes",MAX(0,N34-G34)*$B$3*$B$2,0),0)</f>
        <v>0</v>
      </c>
      <c r="AJ34" s="10">
        <f t="shared" si="2"/>
        <v>0</v>
      </c>
      <c r="AL34" s="2">
        <f t="shared" si="3"/>
        <v>0</v>
      </c>
    </row>
    <row r="35" spans="1:38" x14ac:dyDescent="0.25">
      <c r="D35" s="16">
        <v>32</v>
      </c>
      <c r="E35" s="8">
        <f>IF(D35&gt;$B$21,0,$B$11*(1+$B$13)^D35)</f>
        <v>0</v>
      </c>
      <c r="F35" s="9">
        <f>IF(D35&gt;$B$21,0,G34-G35)</f>
        <v>0</v>
      </c>
      <c r="G35" s="9">
        <f t="shared" si="4"/>
        <v>0</v>
      </c>
      <c r="H35" s="9">
        <f>IF(D35&gt;$B$21,0,IF(D35&gt;$B$10,0,PMT($B$9,$B$10,$B$11*(1-$B$8))))</f>
        <v>0</v>
      </c>
      <c r="I35" s="9">
        <f>IF(D35&gt;$B$21,0,J34*$B$9)</f>
        <v>0</v>
      </c>
      <c r="J35" s="9">
        <f>IF(D35&gt;$B$21,0,J34+H35+I35)</f>
        <v>0</v>
      </c>
      <c r="K35" s="9">
        <f>-IF(D35&gt;$B$21,0,$B$16*(1+$B$17)^(D35-1)+$B$19*(1+$B$20)^(D35-1))</f>
        <v>0</v>
      </c>
      <c r="L35" s="9">
        <f>-IF(D35&gt;$B$21,0,IF(AND($B$18="yes",J35/E35&gt;0.8),$J$3/100000*55*12,0))</f>
        <v>0</v>
      </c>
      <c r="M35" s="9">
        <f>-E35*$B$23</f>
        <v>0</v>
      </c>
      <c r="N35" s="10">
        <f>IF(D35=$B$21,E35*(1-$B$24),0)</f>
        <v>0</v>
      </c>
      <c r="O35" s="1"/>
      <c r="P35" s="8">
        <f>IF(D35&gt;$B$21,0,$B$14*12*(1+$B$15)^(D35-1))</f>
        <v>0</v>
      </c>
      <c r="Q35" s="9">
        <f t="shared" ref="Q35:Q53" si="16">H35</f>
        <v>0</v>
      </c>
      <c r="R35" s="9">
        <f t="shared" si="11"/>
        <v>0</v>
      </c>
      <c r="S35" s="9">
        <f t="shared" ref="S35:S53" si="17">K35</f>
        <v>0</v>
      </c>
      <c r="T35" s="9">
        <f t="shared" si="6"/>
        <v>0</v>
      </c>
      <c r="U35" s="9">
        <f>I35-R35-T35</f>
        <v>0</v>
      </c>
      <c r="V35" s="9">
        <f t="shared" si="13"/>
        <v>0</v>
      </c>
      <c r="W35" s="9">
        <f>IF(D35=$B$21,N35-J35,0)</f>
        <v>0</v>
      </c>
      <c r="X35" s="9">
        <f>-IF(D35=$B$21,IF($B$5="Yes",MAX(N35-$B$11-$B$22,0)*($B$4+$B$3-$B$3*$B$2),MAX(N35-$B$11-$B$22,0)*($B$4+$B$3)),0)</f>
        <v>0</v>
      </c>
      <c r="Y35" s="10">
        <f t="shared" si="14"/>
        <v>0</v>
      </c>
      <c r="AA35" s="8">
        <f>IF(D35&gt;$B$21,0,$B$14*12*(1+$B$15)^(D35-1))</f>
        <v>0</v>
      </c>
      <c r="AB35" s="9">
        <f t="shared" ref="AB35:AB53" si="18">H35</f>
        <v>0</v>
      </c>
      <c r="AC35" s="9">
        <f t="shared" si="7"/>
        <v>0</v>
      </c>
      <c r="AD35" s="9">
        <f t="shared" si="8"/>
        <v>0</v>
      </c>
      <c r="AE35" s="9">
        <f t="shared" si="9"/>
        <v>0</v>
      </c>
      <c r="AF35" s="9">
        <f t="shared" si="15"/>
        <v>0</v>
      </c>
      <c r="AG35" s="9">
        <f t="shared" si="10"/>
        <v>0</v>
      </c>
      <c r="AH35" s="9">
        <f>IF(D35=$B$21,N35-J35,0)</f>
        <v>0</v>
      </c>
      <c r="AI35" s="9">
        <f>-IF(D35=$B$21,MAX(0,($B$11-G35))*MIN($B$2,$B$7)+MAX(0,N35-$B$11)*$B$4+MAX(0,N35-G35)*$B$3-IF($B$5="Yes",MAX(0,N35-G35)*$B$3*$B$2,0),0)</f>
        <v>0</v>
      </c>
      <c r="AJ35" s="10">
        <f t="shared" ref="AJ35:AJ53" si="19">AA35+AB35+AC35+AD35+AG35+AI35+AH35</f>
        <v>0</v>
      </c>
      <c r="AL35" s="2">
        <f t="shared" ref="AL35:AL53" si="20">Y35-AJ35</f>
        <v>0</v>
      </c>
    </row>
    <row r="36" spans="1:38" x14ac:dyDescent="0.25">
      <c r="D36" s="16">
        <v>33</v>
      </c>
      <c r="E36" s="8">
        <f>IF(D36&gt;$B$21,0,$B$11*(1+$B$13)^D36)</f>
        <v>0</v>
      </c>
      <c r="F36" s="9">
        <f>IF(D36&gt;$B$21,0,G35-G36)</f>
        <v>0</v>
      </c>
      <c r="G36" s="9">
        <f t="shared" si="4"/>
        <v>0</v>
      </c>
      <c r="H36" s="9">
        <f>IF(D36&gt;$B$21,0,IF(D36&gt;$B$10,0,PMT($B$9,$B$10,$B$11*(1-$B$8))))</f>
        <v>0</v>
      </c>
      <c r="I36" s="9">
        <f>IF(D36&gt;$B$21,0,J35*$B$9)</f>
        <v>0</v>
      </c>
      <c r="J36" s="9">
        <f>IF(D36&gt;$B$21,0,J35+H36+I36)</f>
        <v>0</v>
      </c>
      <c r="K36" s="9">
        <f>-IF(D36&gt;$B$21,0,$B$16*(1+$B$17)^(D36-1)+$B$19*(1+$B$20)^(D36-1))</f>
        <v>0</v>
      </c>
      <c r="L36" s="9">
        <f>-IF(D36&gt;$B$21,0,IF(AND($B$18="yes",J36/E36&gt;0.8),$J$3/100000*55*12,0))</f>
        <v>0</v>
      </c>
      <c r="M36" s="9">
        <f t="shared" ref="M36:M53" si="21">-E36*$B$23</f>
        <v>0</v>
      </c>
      <c r="N36" s="10">
        <f>IF(D36=$B$21,E36*(1-$B$24),0)</f>
        <v>0</v>
      </c>
      <c r="O36" s="1"/>
      <c r="P36" s="8">
        <f t="shared" ref="P36:P53" si="22">IF(D36&gt;$B$21,0,$B$14*12*(1+$B$15)^(D36-1))</f>
        <v>0</v>
      </c>
      <c r="Q36" s="9">
        <f t="shared" si="16"/>
        <v>0</v>
      </c>
      <c r="R36" s="9">
        <f t="shared" si="11"/>
        <v>0</v>
      </c>
      <c r="S36" s="9">
        <f t="shared" si="17"/>
        <v>0</v>
      </c>
      <c r="T36" s="9">
        <f t="shared" si="6"/>
        <v>0</v>
      </c>
      <c r="U36" s="9">
        <f t="shared" si="12"/>
        <v>0</v>
      </c>
      <c r="V36" s="9">
        <f t="shared" si="13"/>
        <v>0</v>
      </c>
      <c r="W36" s="9">
        <f>IF(D36=$B$21,N36-J36,0)</f>
        <v>0</v>
      </c>
      <c r="X36" s="9">
        <f>-IF(D36=$B$21,IF($B$5="Yes",MAX(N36-$B$11-$B$22,0)*($B$4+$B$3-$B$3*$B$2),MAX(N36-$B$11-$B$22,0)*($B$4+$B$3)),0)</f>
        <v>0</v>
      </c>
      <c r="Y36" s="10">
        <f t="shared" si="14"/>
        <v>0</v>
      </c>
      <c r="AA36" s="8">
        <f t="shared" ref="AA36:AA53" si="23">IF(D36&gt;$B$21,0,$B$14*12*(1+$B$15)^(D36-1))</f>
        <v>0</v>
      </c>
      <c r="AB36" s="9">
        <f t="shared" si="18"/>
        <v>0</v>
      </c>
      <c r="AC36" s="9">
        <f t="shared" si="7"/>
        <v>0</v>
      </c>
      <c r="AD36" s="9">
        <f t="shared" si="8"/>
        <v>0</v>
      </c>
      <c r="AE36" s="9">
        <f t="shared" si="9"/>
        <v>0</v>
      </c>
      <c r="AF36" s="9">
        <f t="shared" si="15"/>
        <v>0</v>
      </c>
      <c r="AG36" s="9">
        <f t="shared" si="10"/>
        <v>0</v>
      </c>
      <c r="AH36" s="9">
        <f>IF(D36=$B$21,N36-J36,0)</f>
        <v>0</v>
      </c>
      <c r="AI36" s="9">
        <f>-IF(D36=$B$21,MAX(0,($B$11-G36))*MIN($B$2,$B$7)+MAX(0,N36-$B$11)*$B$4+MAX(0,N36-G36)*$B$3-IF($B$5="Yes",MAX(0,N36-G36)*$B$3*$B$2,0),0)</f>
        <v>0</v>
      </c>
      <c r="AJ36" s="10">
        <f t="shared" si="19"/>
        <v>0</v>
      </c>
      <c r="AL36" s="2">
        <f t="shared" si="20"/>
        <v>0</v>
      </c>
    </row>
    <row r="37" spans="1:38" x14ac:dyDescent="0.25">
      <c r="D37" s="16">
        <v>34</v>
      </c>
      <c r="E37" s="8">
        <f>IF(D37&gt;$B$21,0,$B$11*(1+$B$13)^D37)</f>
        <v>0</v>
      </c>
      <c r="F37" s="9">
        <f>IF(D37&gt;$B$21,0,G36-G37)</f>
        <v>0</v>
      </c>
      <c r="G37" s="9">
        <f t="shared" si="4"/>
        <v>0</v>
      </c>
      <c r="H37" s="9">
        <f>IF(D37&gt;$B$21,0,IF(D37&gt;$B$10,0,PMT($B$9,$B$10,$B$11*(1-$B$8))))</f>
        <v>0</v>
      </c>
      <c r="I37" s="9">
        <f>IF(D37&gt;$B$21,0,J36*$B$9)</f>
        <v>0</v>
      </c>
      <c r="J37" s="9">
        <f>IF(D37&gt;$B$21,0,J36+H37+I37)</f>
        <v>0</v>
      </c>
      <c r="K37" s="9">
        <f>-IF(D37&gt;$B$21,0,$B$16*(1+$B$17)^(D37-1)+$B$19*(1+$B$20)^(D37-1))</f>
        <v>0</v>
      </c>
      <c r="L37" s="9">
        <f>-IF(D37&gt;$B$21,0,IF(AND($B$18="yes",J37/E37&gt;0.8),$J$3/100000*55*12,0))</f>
        <v>0</v>
      </c>
      <c r="M37" s="9">
        <f t="shared" si="21"/>
        <v>0</v>
      </c>
      <c r="N37" s="10">
        <f>IF(D37=$B$21,E37*(1-$B$24),0)</f>
        <v>0</v>
      </c>
      <c r="O37" s="1"/>
      <c r="P37" s="8">
        <f t="shared" si="22"/>
        <v>0</v>
      </c>
      <c r="Q37" s="9">
        <f t="shared" si="16"/>
        <v>0</v>
      </c>
      <c r="R37" s="9">
        <f t="shared" si="11"/>
        <v>0</v>
      </c>
      <c r="S37" s="9">
        <f t="shared" si="17"/>
        <v>0</v>
      </c>
      <c r="T37" s="9">
        <f t="shared" si="6"/>
        <v>0</v>
      </c>
      <c r="U37" s="9">
        <f t="shared" si="12"/>
        <v>0</v>
      </c>
      <c r="V37" s="9">
        <f t="shared" si="13"/>
        <v>0</v>
      </c>
      <c r="W37" s="9">
        <f>IF(D37=$B$21,N37-J37,0)</f>
        <v>0</v>
      </c>
      <c r="X37" s="9">
        <f>-IF(D37=$B$21,IF($B$5="Yes",MAX(N37-$B$11-$B$22,0)*($B$4+$B$3-$B$3*$B$2),MAX(N37-$B$11-$B$22,0)*($B$4+$B$3)),0)</f>
        <v>0</v>
      </c>
      <c r="Y37" s="10">
        <f t="shared" si="14"/>
        <v>0</v>
      </c>
      <c r="AA37" s="8">
        <f t="shared" si="23"/>
        <v>0</v>
      </c>
      <c r="AB37" s="9">
        <f t="shared" si="18"/>
        <v>0</v>
      </c>
      <c r="AC37" s="9">
        <f t="shared" si="7"/>
        <v>0</v>
      </c>
      <c r="AD37" s="9">
        <f t="shared" si="8"/>
        <v>0</v>
      </c>
      <c r="AE37" s="9">
        <f t="shared" si="9"/>
        <v>0</v>
      </c>
      <c r="AF37" s="9">
        <f t="shared" si="15"/>
        <v>0</v>
      </c>
      <c r="AG37" s="9">
        <f t="shared" si="10"/>
        <v>0</v>
      </c>
      <c r="AH37" s="9">
        <f>IF(D37=$B$21,N37-J37,0)</f>
        <v>0</v>
      </c>
      <c r="AI37" s="9">
        <f>-IF(D37=$B$21,MAX(0,($B$11-G37))*MIN($B$2,$B$7)+MAX(0,N37-$B$11)*$B$4+MAX(0,N37-G37)*$B$3-IF($B$5="Yes",MAX(0,N37-G37)*$B$3*$B$2,0),0)</f>
        <v>0</v>
      </c>
      <c r="AJ37" s="10">
        <f t="shared" si="19"/>
        <v>0</v>
      </c>
      <c r="AL37" s="2">
        <f t="shared" si="20"/>
        <v>0</v>
      </c>
    </row>
    <row r="38" spans="1:38" x14ac:dyDescent="0.25">
      <c r="D38" s="16">
        <v>35</v>
      </c>
      <c r="E38" s="8">
        <f>IF(D38&gt;$B$21,0,$B$11*(1+$B$13)^D38)</f>
        <v>0</v>
      </c>
      <c r="F38" s="9">
        <f>IF(D38&gt;$B$21,0,G37-G38)</f>
        <v>0</v>
      </c>
      <c r="G38" s="9">
        <f t="shared" si="4"/>
        <v>0</v>
      </c>
      <c r="H38" s="9">
        <f>IF(D38&gt;$B$21,0,IF(D38&gt;$B$10,0,PMT($B$9,$B$10,$B$11*(1-$B$8))))</f>
        <v>0</v>
      </c>
      <c r="I38" s="9">
        <f>IF(D38&gt;$B$21,0,J37*$B$9)</f>
        <v>0</v>
      </c>
      <c r="J38" s="9">
        <f>IF(D38&gt;$B$21,0,J37+H38+I38)</f>
        <v>0</v>
      </c>
      <c r="K38" s="9">
        <f>-IF(D38&gt;$B$21,0,$B$16*(1+$B$17)^(D38-1)+$B$19*(1+$B$20)^(D38-1))</f>
        <v>0</v>
      </c>
      <c r="L38" s="9">
        <f>-IF(D38&gt;$B$21,0,IF(AND($B$18="yes",J38/E38&gt;0.8),$J$3/100000*55*12,0))</f>
        <v>0</v>
      </c>
      <c r="M38" s="9">
        <f t="shared" si="21"/>
        <v>0</v>
      </c>
      <c r="N38" s="10">
        <f>IF(D38=$B$21,E38*(1-$B$24),0)</f>
        <v>0</v>
      </c>
      <c r="O38" s="1"/>
      <c r="P38" s="8">
        <f t="shared" si="22"/>
        <v>0</v>
      </c>
      <c r="Q38" s="9">
        <f t="shared" si="16"/>
        <v>0</v>
      </c>
      <c r="R38" s="9">
        <f t="shared" si="11"/>
        <v>0</v>
      </c>
      <c r="S38" s="9">
        <f t="shared" si="17"/>
        <v>0</v>
      </c>
      <c r="T38" s="9">
        <f t="shared" si="6"/>
        <v>0</v>
      </c>
      <c r="U38" s="9">
        <f t="shared" si="12"/>
        <v>0</v>
      </c>
      <c r="V38" s="9">
        <f t="shared" si="13"/>
        <v>0</v>
      </c>
      <c r="W38" s="9">
        <f>IF(D38=$B$21,N38-J38,0)</f>
        <v>0</v>
      </c>
      <c r="X38" s="9">
        <f>-IF(D38=$B$21,IF($B$5="Yes",MAX(N38-$B$11-$B$22,0)*($B$4+$B$3-$B$3*$B$2),MAX(N38-$B$11-$B$22,0)*($B$4+$B$3)),0)</f>
        <v>0</v>
      </c>
      <c r="Y38" s="10">
        <f t="shared" si="14"/>
        <v>0</v>
      </c>
      <c r="AA38" s="8">
        <f t="shared" si="23"/>
        <v>0</v>
      </c>
      <c r="AB38" s="9">
        <f t="shared" si="18"/>
        <v>0</v>
      </c>
      <c r="AC38" s="9">
        <f t="shared" si="7"/>
        <v>0</v>
      </c>
      <c r="AD38" s="9">
        <f t="shared" si="8"/>
        <v>0</v>
      </c>
      <c r="AE38" s="9">
        <f t="shared" si="9"/>
        <v>0</v>
      </c>
      <c r="AF38" s="9">
        <f t="shared" si="15"/>
        <v>0</v>
      </c>
      <c r="AG38" s="9">
        <f t="shared" si="10"/>
        <v>0</v>
      </c>
      <c r="AH38" s="9">
        <f>IF(D38=$B$21,N38-J38,0)</f>
        <v>0</v>
      </c>
      <c r="AI38" s="9">
        <f>-IF(D38=$B$21,MAX(0,($B$11-G38))*MIN($B$2,$B$7)+MAX(0,N38-$B$11)*$B$4+MAX(0,N38-G38)*$B$3-IF($B$5="Yes",MAX(0,N38-G38)*$B$3*$B$2,0),0)</f>
        <v>0</v>
      </c>
      <c r="AJ38" s="10">
        <f t="shared" si="19"/>
        <v>0</v>
      </c>
      <c r="AL38" s="2">
        <f t="shared" si="20"/>
        <v>0</v>
      </c>
    </row>
    <row r="39" spans="1:38" x14ac:dyDescent="0.25">
      <c r="D39" s="16">
        <v>36</v>
      </c>
      <c r="E39" s="8">
        <f>IF(D39&gt;$B$21,0,$B$11*(1+$B$13)^D39)</f>
        <v>0</v>
      </c>
      <c r="F39" s="9">
        <f>IF(D39&gt;$B$21,0,G38-G39)</f>
        <v>0</v>
      </c>
      <c r="G39" s="9">
        <f t="shared" si="4"/>
        <v>0</v>
      </c>
      <c r="H39" s="9">
        <f>IF(D39&gt;$B$21,0,IF(D39&gt;$B$10,0,PMT($B$9,$B$10,$B$11*(1-$B$8))))</f>
        <v>0</v>
      </c>
      <c r="I39" s="9">
        <f>IF(D39&gt;$B$21,0,J38*$B$9)</f>
        <v>0</v>
      </c>
      <c r="J39" s="9">
        <f>IF(D39&gt;$B$21,0,J38+H39+I39)</f>
        <v>0</v>
      </c>
      <c r="K39" s="9">
        <f>-IF(D39&gt;$B$21,0,$B$16*(1+$B$17)^(D39-1)+$B$19*(1+$B$20)^(D39-1))</f>
        <v>0</v>
      </c>
      <c r="L39" s="9">
        <f>-IF(D39&gt;$B$21,0,IF(AND($B$18="yes",J39/E39&gt;0.8),$J$3/100000*55*12,0))</f>
        <v>0</v>
      </c>
      <c r="M39" s="9">
        <f t="shared" si="21"/>
        <v>0</v>
      </c>
      <c r="N39" s="10">
        <f>IF(D39=$B$21,E39*(1-$B$24),0)</f>
        <v>0</v>
      </c>
      <c r="O39" s="1"/>
      <c r="P39" s="8">
        <f t="shared" si="22"/>
        <v>0</v>
      </c>
      <c r="Q39" s="9">
        <f t="shared" si="16"/>
        <v>0</v>
      </c>
      <c r="R39" s="9">
        <f t="shared" si="11"/>
        <v>0</v>
      </c>
      <c r="S39" s="9">
        <f t="shared" si="17"/>
        <v>0</v>
      </c>
      <c r="T39" s="9">
        <f t="shared" si="6"/>
        <v>0</v>
      </c>
      <c r="U39" s="9">
        <f t="shared" si="12"/>
        <v>0</v>
      </c>
      <c r="V39" s="9">
        <f t="shared" si="13"/>
        <v>0</v>
      </c>
      <c r="W39" s="9">
        <f>IF(D39=$B$21,N39-J39,0)</f>
        <v>0</v>
      </c>
      <c r="X39" s="9">
        <f>-IF(D39=$B$21,IF($B$5="Yes",MAX(N39-$B$11-$B$22,0)*($B$4+$B$3-$B$3*$B$2),MAX(N39-$B$11-$B$22,0)*($B$4+$B$3)),0)</f>
        <v>0</v>
      </c>
      <c r="Y39" s="10">
        <f t="shared" si="14"/>
        <v>0</v>
      </c>
      <c r="AA39" s="8">
        <f t="shared" si="23"/>
        <v>0</v>
      </c>
      <c r="AB39" s="9">
        <f t="shared" si="18"/>
        <v>0</v>
      </c>
      <c r="AC39" s="9">
        <f t="shared" si="7"/>
        <v>0</v>
      </c>
      <c r="AD39" s="9">
        <f t="shared" si="8"/>
        <v>0</v>
      </c>
      <c r="AE39" s="9">
        <f t="shared" si="9"/>
        <v>0</v>
      </c>
      <c r="AF39" s="9">
        <f t="shared" si="15"/>
        <v>0</v>
      </c>
      <c r="AG39" s="9">
        <f t="shared" si="10"/>
        <v>0</v>
      </c>
      <c r="AH39" s="9">
        <f>IF(D39=$B$21,N39-J39,0)</f>
        <v>0</v>
      </c>
      <c r="AI39" s="9">
        <f>-IF(D39=$B$21,MAX(0,($B$11-G39))*MIN($B$2,$B$7)+MAX(0,N39-$B$11)*$B$4+MAX(0,N39-G39)*$B$3-IF($B$5="Yes",MAX(0,N39-G39)*$B$3*$B$2,0),0)</f>
        <v>0</v>
      </c>
      <c r="AJ39" s="10">
        <f t="shared" si="19"/>
        <v>0</v>
      </c>
      <c r="AL39" s="2">
        <f t="shared" si="20"/>
        <v>0</v>
      </c>
    </row>
    <row r="40" spans="1:38" x14ac:dyDescent="0.25">
      <c r="D40" s="16">
        <v>37</v>
      </c>
      <c r="E40" s="8">
        <f>IF(D40&gt;$B$21,0,$B$11*(1+$B$13)^D40)</f>
        <v>0</v>
      </c>
      <c r="F40" s="9">
        <f>IF(D40&gt;$B$21,0,G39-G40)</f>
        <v>0</v>
      </c>
      <c r="G40" s="9">
        <f t="shared" si="4"/>
        <v>0</v>
      </c>
      <c r="H40" s="9">
        <f>IF(D40&gt;$B$21,0,IF(D40&gt;$B$10,0,PMT($B$9,$B$10,$B$11*(1-$B$8))))</f>
        <v>0</v>
      </c>
      <c r="I40" s="9">
        <f>IF(D40&gt;$B$21,0,J39*$B$9)</f>
        <v>0</v>
      </c>
      <c r="J40" s="9">
        <f>IF(D40&gt;$B$21,0,J39+H40+I40)</f>
        <v>0</v>
      </c>
      <c r="K40" s="9">
        <f>-IF(D40&gt;$B$21,0,$B$16*(1+$B$17)^(D40-1)+$B$19*(1+$B$20)^(D40-1))</f>
        <v>0</v>
      </c>
      <c r="L40" s="9">
        <f>-IF(D40&gt;$B$21,0,IF(AND($B$18="yes",J40/E40&gt;0.8),$J$3/100000*55*12,0))</f>
        <v>0</v>
      </c>
      <c r="M40" s="9">
        <f t="shared" si="21"/>
        <v>0</v>
      </c>
      <c r="N40" s="10">
        <f>IF(D40=$B$21,E40*(1-$B$24),0)</f>
        <v>0</v>
      </c>
      <c r="O40" s="1"/>
      <c r="P40" s="8">
        <f t="shared" si="22"/>
        <v>0</v>
      </c>
      <c r="Q40" s="9">
        <f t="shared" si="16"/>
        <v>0</v>
      </c>
      <c r="R40" s="9">
        <f t="shared" si="11"/>
        <v>0</v>
      </c>
      <c r="S40" s="9">
        <f t="shared" si="17"/>
        <v>0</v>
      </c>
      <c r="T40" s="9">
        <f t="shared" si="6"/>
        <v>0</v>
      </c>
      <c r="U40" s="9">
        <f t="shared" si="12"/>
        <v>0</v>
      </c>
      <c r="V40" s="9">
        <f t="shared" si="13"/>
        <v>0</v>
      </c>
      <c r="W40" s="9">
        <f>IF(D40=$B$21,N40-J40,0)</f>
        <v>0</v>
      </c>
      <c r="X40" s="9">
        <f>-IF(D40=$B$21,IF($B$5="Yes",MAX(N40-$B$11-$B$22,0)*($B$4+$B$3-$B$3*$B$2),MAX(N40-$B$11-$B$22,0)*($B$4+$B$3)),0)</f>
        <v>0</v>
      </c>
      <c r="Y40" s="10">
        <f t="shared" si="14"/>
        <v>0</v>
      </c>
      <c r="AA40" s="8">
        <f t="shared" si="23"/>
        <v>0</v>
      </c>
      <c r="AB40" s="9">
        <f t="shared" si="18"/>
        <v>0</v>
      </c>
      <c r="AC40" s="9">
        <f t="shared" si="7"/>
        <v>0</v>
      </c>
      <c r="AD40" s="9">
        <f t="shared" si="8"/>
        <v>0</v>
      </c>
      <c r="AE40" s="9">
        <f t="shared" si="9"/>
        <v>0</v>
      </c>
      <c r="AF40" s="9">
        <f t="shared" si="15"/>
        <v>0</v>
      </c>
      <c r="AG40" s="9">
        <f t="shared" si="10"/>
        <v>0</v>
      </c>
      <c r="AH40" s="9">
        <f>IF(D40=$B$21,N40-J40,0)</f>
        <v>0</v>
      </c>
      <c r="AI40" s="9">
        <f>-IF(D40=$B$21,MAX(0,($B$11-G40))*MIN($B$2,$B$7)+MAX(0,N40-$B$11)*$B$4+MAX(0,N40-G40)*$B$3-IF($B$5="Yes",MAX(0,N40-G40)*$B$3*$B$2,0),0)</f>
        <v>0</v>
      </c>
      <c r="AJ40" s="10">
        <f t="shared" si="19"/>
        <v>0</v>
      </c>
      <c r="AL40" s="2">
        <f t="shared" si="20"/>
        <v>0</v>
      </c>
    </row>
    <row r="41" spans="1:38" x14ac:dyDescent="0.25">
      <c r="D41" s="16">
        <v>38</v>
      </c>
      <c r="E41" s="8">
        <f>IF(D41&gt;$B$21,0,$B$11*(1+$B$13)^D41)</f>
        <v>0</v>
      </c>
      <c r="F41" s="9">
        <f>IF(D41&gt;$B$21,0,G40-G41)</f>
        <v>0</v>
      </c>
      <c r="G41" s="9">
        <f t="shared" si="4"/>
        <v>0</v>
      </c>
      <c r="H41" s="9">
        <f>IF(D41&gt;$B$21,0,IF(D41&gt;$B$10,0,PMT($B$9,$B$10,$B$11*(1-$B$8))))</f>
        <v>0</v>
      </c>
      <c r="I41" s="9">
        <f>IF(D41&gt;$B$21,0,J40*$B$9)</f>
        <v>0</v>
      </c>
      <c r="J41" s="9">
        <f>IF(D41&gt;$B$21,0,J40+H41+I41)</f>
        <v>0</v>
      </c>
      <c r="K41" s="9">
        <f>-IF(D41&gt;$B$21,0,$B$16*(1+$B$17)^(D41-1)+$B$19*(1+$B$20)^(D41-1))</f>
        <v>0</v>
      </c>
      <c r="L41" s="9">
        <f>-IF(D41&gt;$B$21,0,IF(AND($B$18="yes",J41/E41&gt;0.8),$J$3/100000*55*12,0))</f>
        <v>0</v>
      </c>
      <c r="M41" s="9">
        <f t="shared" si="21"/>
        <v>0</v>
      </c>
      <c r="N41" s="10">
        <f>IF(D41=$B$21,E41*(1-$B$24),0)</f>
        <v>0</v>
      </c>
      <c r="O41" s="1"/>
      <c r="P41" s="8">
        <f t="shared" si="22"/>
        <v>0</v>
      </c>
      <c r="Q41" s="9">
        <f t="shared" si="16"/>
        <v>0</v>
      </c>
      <c r="R41" s="9">
        <f t="shared" si="11"/>
        <v>0</v>
      </c>
      <c r="S41" s="9">
        <f t="shared" si="17"/>
        <v>0</v>
      </c>
      <c r="T41" s="9">
        <f t="shared" si="6"/>
        <v>0</v>
      </c>
      <c r="U41" s="9">
        <f t="shared" si="12"/>
        <v>0</v>
      </c>
      <c r="V41" s="9">
        <f t="shared" si="13"/>
        <v>0</v>
      </c>
      <c r="W41" s="9">
        <f>IF(D41=$B$21,N41-J41,0)</f>
        <v>0</v>
      </c>
      <c r="X41" s="9">
        <f>-IF(D41=$B$21,IF($B$5="Yes",MAX(N41-$B$11-$B$22,0)*($B$4+$B$3-$B$3*$B$2),MAX(N41-$B$11-$B$22,0)*($B$4+$B$3)),0)</f>
        <v>0</v>
      </c>
      <c r="Y41" s="10">
        <f t="shared" si="14"/>
        <v>0</v>
      </c>
      <c r="AA41" s="8">
        <f t="shared" si="23"/>
        <v>0</v>
      </c>
      <c r="AB41" s="9">
        <f t="shared" si="18"/>
        <v>0</v>
      </c>
      <c r="AC41" s="9">
        <f t="shared" si="7"/>
        <v>0</v>
      </c>
      <c r="AD41" s="9">
        <f t="shared" si="8"/>
        <v>0</v>
      </c>
      <c r="AE41" s="9">
        <f t="shared" si="9"/>
        <v>0</v>
      </c>
      <c r="AF41" s="9">
        <f t="shared" si="15"/>
        <v>0</v>
      </c>
      <c r="AG41" s="9">
        <f t="shared" si="10"/>
        <v>0</v>
      </c>
      <c r="AH41" s="9">
        <f>IF(D41=$B$21,N41-J41,0)</f>
        <v>0</v>
      </c>
      <c r="AI41" s="9">
        <f>-IF(D41=$B$21,MAX(0,($B$11-G41))*MIN($B$2,$B$7)+MAX(0,N41-$B$11)*$B$4+MAX(0,N41-G41)*$B$3-IF($B$5="Yes",MAX(0,N41-G41)*$B$3*$B$2,0),0)</f>
        <v>0</v>
      </c>
      <c r="AJ41" s="10">
        <f t="shared" si="19"/>
        <v>0</v>
      </c>
      <c r="AL41" s="2">
        <f t="shared" si="20"/>
        <v>0</v>
      </c>
    </row>
    <row r="42" spans="1:38" x14ac:dyDescent="0.25">
      <c r="D42" s="16">
        <v>39</v>
      </c>
      <c r="E42" s="8">
        <f>IF(D42&gt;$B$21,0,$B$11*(1+$B$13)^D42)</f>
        <v>0</v>
      </c>
      <c r="F42" s="9">
        <f>IF(D42&gt;$B$21,0,G41-G42)</f>
        <v>0</v>
      </c>
      <c r="G42" s="9">
        <f t="shared" si="4"/>
        <v>0</v>
      </c>
      <c r="H42" s="9">
        <f>IF(D42&gt;$B$21,0,IF(D42&gt;$B$10,0,PMT($B$9,$B$10,$B$11*(1-$B$8))))</f>
        <v>0</v>
      </c>
      <c r="I42" s="9">
        <f>IF(D42&gt;$B$21,0,J41*$B$9)</f>
        <v>0</v>
      </c>
      <c r="J42" s="9">
        <f>IF(D42&gt;$B$21,0,J41+H42+I42)</f>
        <v>0</v>
      </c>
      <c r="K42" s="9">
        <f>-IF(D42&gt;$B$21,0,$B$16*(1+$B$17)^(D42-1)+$B$19*(1+$B$20)^(D42-1))</f>
        <v>0</v>
      </c>
      <c r="L42" s="9">
        <f>-IF(D42&gt;$B$21,0,IF(AND($B$18="yes",J42/E42&gt;0.8),$J$3/100000*55*12,0))</f>
        <v>0</v>
      </c>
      <c r="M42" s="9">
        <f t="shared" si="21"/>
        <v>0</v>
      </c>
      <c r="N42" s="10">
        <f>IF(D42=$B$21,E42*(1-$B$24),0)</f>
        <v>0</v>
      </c>
      <c r="O42" s="1"/>
      <c r="P42" s="8">
        <f t="shared" si="22"/>
        <v>0</v>
      </c>
      <c r="Q42" s="9">
        <f t="shared" si="16"/>
        <v>0</v>
      </c>
      <c r="R42" s="9">
        <f t="shared" si="11"/>
        <v>0</v>
      </c>
      <c r="S42" s="9">
        <f t="shared" si="17"/>
        <v>0</v>
      </c>
      <c r="T42" s="9">
        <f t="shared" si="6"/>
        <v>0</v>
      </c>
      <c r="U42" s="9">
        <f t="shared" si="12"/>
        <v>0</v>
      </c>
      <c r="V42" s="9">
        <f t="shared" si="13"/>
        <v>0</v>
      </c>
      <c r="W42" s="9">
        <f>IF(D42=$B$21,N42-J42,0)</f>
        <v>0</v>
      </c>
      <c r="X42" s="9">
        <f>-IF(D42=$B$21,IF($B$5="Yes",MAX(N42-$B$11-$B$22,0)*($B$4+$B$3-$B$3*$B$2),MAX(N42-$B$11-$B$22,0)*($B$4+$B$3)),0)</f>
        <v>0</v>
      </c>
      <c r="Y42" s="10">
        <f t="shared" si="14"/>
        <v>0</v>
      </c>
      <c r="AA42" s="8">
        <f t="shared" si="23"/>
        <v>0</v>
      </c>
      <c r="AB42" s="9">
        <f t="shared" si="18"/>
        <v>0</v>
      </c>
      <c r="AC42" s="9">
        <f t="shared" si="7"/>
        <v>0</v>
      </c>
      <c r="AD42" s="9">
        <f t="shared" si="8"/>
        <v>0</v>
      </c>
      <c r="AE42" s="9">
        <f t="shared" si="9"/>
        <v>0</v>
      </c>
      <c r="AF42" s="9">
        <f t="shared" si="15"/>
        <v>0</v>
      </c>
      <c r="AG42" s="9">
        <f t="shared" si="10"/>
        <v>0</v>
      </c>
      <c r="AH42" s="9">
        <f>IF(D42=$B$21,N42-J42,0)</f>
        <v>0</v>
      </c>
      <c r="AI42" s="9">
        <f>-IF(D42=$B$21,MAX(0,($B$11-G42))*MIN($B$2,$B$7)+MAX(0,N42-$B$11)*$B$4+MAX(0,N42-G42)*$B$3-IF($B$5="Yes",MAX(0,N42-G42)*$B$3*$B$2,0),0)</f>
        <v>0</v>
      </c>
      <c r="AJ42" s="10">
        <f t="shared" si="19"/>
        <v>0</v>
      </c>
      <c r="AL42" s="2">
        <f t="shared" si="20"/>
        <v>0</v>
      </c>
    </row>
    <row r="43" spans="1:38" x14ac:dyDescent="0.25">
      <c r="D43" s="16">
        <v>40</v>
      </c>
      <c r="E43" s="8">
        <f>IF(D43&gt;$B$21,0,$B$11*(1+$B$13)^D43)</f>
        <v>0</v>
      </c>
      <c r="F43" s="9">
        <f>IF(D43&gt;$B$21,0,G42-G43)</f>
        <v>0</v>
      </c>
      <c r="G43" s="9">
        <f t="shared" si="4"/>
        <v>0</v>
      </c>
      <c r="H43" s="9">
        <f>IF(D43&gt;$B$21,0,IF(D43&gt;$B$10,0,PMT($B$9,$B$10,$B$11*(1-$B$8))))</f>
        <v>0</v>
      </c>
      <c r="I43" s="9">
        <f>IF(D43&gt;$B$21,0,J42*$B$9)</f>
        <v>0</v>
      </c>
      <c r="J43" s="9">
        <f>IF(D43&gt;$B$21,0,J42+H43+I43)</f>
        <v>0</v>
      </c>
      <c r="K43" s="9">
        <f>-IF(D43&gt;$B$21,0,$B$16*(1+$B$17)^(D43-1)+$B$19*(1+$B$20)^(D43-1))</f>
        <v>0</v>
      </c>
      <c r="L43" s="9">
        <f>-IF(D43&gt;$B$21,0,IF(AND($B$18="yes",J43/E43&gt;0.8),$J$3/100000*55*12,0))</f>
        <v>0</v>
      </c>
      <c r="M43" s="9">
        <f t="shared" si="21"/>
        <v>0</v>
      </c>
      <c r="N43" s="10">
        <f>IF(D43=$B$21,E43*(1-$B$24),0)</f>
        <v>0</v>
      </c>
      <c r="O43" s="1"/>
      <c r="P43" s="8">
        <f t="shared" si="22"/>
        <v>0</v>
      </c>
      <c r="Q43" s="9">
        <f t="shared" si="16"/>
        <v>0</v>
      </c>
      <c r="R43" s="9">
        <f t="shared" si="11"/>
        <v>0</v>
      </c>
      <c r="S43" s="9">
        <f t="shared" si="17"/>
        <v>0</v>
      </c>
      <c r="T43" s="9">
        <f t="shared" si="6"/>
        <v>0</v>
      </c>
      <c r="U43" s="9">
        <f t="shared" si="12"/>
        <v>0</v>
      </c>
      <c r="V43" s="9">
        <f t="shared" si="13"/>
        <v>0</v>
      </c>
      <c r="W43" s="9">
        <f>IF(D43=$B$21,N43-J43,0)</f>
        <v>0</v>
      </c>
      <c r="X43" s="9">
        <f>-IF(D43=$B$21,IF($B$5="Yes",MAX(N43-$B$11-$B$22,0)*($B$4+$B$3-$B$3*$B$2),MAX(N43-$B$11-$B$22,0)*($B$4+$B$3)),0)</f>
        <v>0</v>
      </c>
      <c r="Y43" s="10">
        <f t="shared" si="14"/>
        <v>0</v>
      </c>
      <c r="AA43" s="8">
        <f t="shared" si="23"/>
        <v>0</v>
      </c>
      <c r="AB43" s="9">
        <f t="shared" si="18"/>
        <v>0</v>
      </c>
      <c r="AC43" s="9">
        <f t="shared" si="7"/>
        <v>0</v>
      </c>
      <c r="AD43" s="9">
        <f t="shared" si="8"/>
        <v>0</v>
      </c>
      <c r="AE43" s="9">
        <f t="shared" si="9"/>
        <v>0</v>
      </c>
      <c r="AF43" s="9">
        <f t="shared" si="15"/>
        <v>0</v>
      </c>
      <c r="AG43" s="9">
        <f t="shared" si="10"/>
        <v>0</v>
      </c>
      <c r="AH43" s="9">
        <f>IF(D43=$B$21,N43-J43,0)</f>
        <v>0</v>
      </c>
      <c r="AI43" s="9">
        <f>-IF(D43=$B$21,MAX(0,($B$11-G43))*MIN($B$2,$B$7)+MAX(0,N43-$B$11)*$B$4+MAX(0,N43-G43)*$B$3-IF($B$5="Yes",MAX(0,N43-G43)*$B$3*$B$2,0),0)</f>
        <v>0</v>
      </c>
      <c r="AJ43" s="10">
        <f t="shared" si="19"/>
        <v>0</v>
      </c>
      <c r="AL43" s="2">
        <f t="shared" si="20"/>
        <v>0</v>
      </c>
    </row>
    <row r="44" spans="1:38" x14ac:dyDescent="0.25">
      <c r="D44" s="16">
        <v>41</v>
      </c>
      <c r="E44" s="8">
        <f>IF(D44&gt;$B$21,0,$B$11*(1+$B$13)^D44)</f>
        <v>0</v>
      </c>
      <c r="F44" s="9">
        <f>IF(D44&gt;$B$21,0,G43-G44)</f>
        <v>0</v>
      </c>
      <c r="G44" s="9">
        <f t="shared" si="4"/>
        <v>0</v>
      </c>
      <c r="H44" s="9">
        <f>IF(D44&gt;$B$21,0,IF(D44&gt;$B$10,0,PMT($B$9,$B$10,$B$11*(1-$B$8))))</f>
        <v>0</v>
      </c>
      <c r="I44" s="9">
        <f>IF(D44&gt;$B$21,0,J43*$B$9)</f>
        <v>0</v>
      </c>
      <c r="J44" s="9">
        <f>IF(D44&gt;$B$21,0,J43+H44+I44)</f>
        <v>0</v>
      </c>
      <c r="K44" s="9">
        <f>-IF(D44&gt;$B$21,0,$B$16*(1+$B$17)^(D44-1)+$B$19*(1+$B$20)^(D44-1))</f>
        <v>0</v>
      </c>
      <c r="L44" s="9">
        <f>-IF(D44&gt;$B$21,0,IF(AND($B$18="yes",J44/E44&gt;0.8),$J$3/100000*55*12,0))</f>
        <v>0</v>
      </c>
      <c r="M44" s="9">
        <f t="shared" si="21"/>
        <v>0</v>
      </c>
      <c r="N44" s="10">
        <f>IF(D44=$B$21,E44*(1-$B$24),0)</f>
        <v>0</v>
      </c>
      <c r="O44" s="1"/>
      <c r="P44" s="8">
        <f t="shared" si="22"/>
        <v>0</v>
      </c>
      <c r="Q44" s="9">
        <f t="shared" si="16"/>
        <v>0</v>
      </c>
      <c r="R44" s="9">
        <f t="shared" si="11"/>
        <v>0</v>
      </c>
      <c r="S44" s="9">
        <f t="shared" si="17"/>
        <v>0</v>
      </c>
      <c r="T44" s="9">
        <f t="shared" si="6"/>
        <v>0</v>
      </c>
      <c r="U44" s="9">
        <f t="shared" si="12"/>
        <v>0</v>
      </c>
      <c r="V44" s="9">
        <f t="shared" si="13"/>
        <v>0</v>
      </c>
      <c r="W44" s="9">
        <f>IF(D44=$B$21,N44-J44,0)</f>
        <v>0</v>
      </c>
      <c r="X44" s="9">
        <f>-IF(D44=$B$21,IF($B$5="Yes",MAX(N44-$B$11-$B$22,0)*($B$4+$B$3-$B$3*$B$2),MAX(N44-$B$11-$B$22,0)*($B$4+$B$3)),0)</f>
        <v>0</v>
      </c>
      <c r="Y44" s="10">
        <f t="shared" si="14"/>
        <v>0</v>
      </c>
      <c r="AA44" s="8">
        <f t="shared" si="23"/>
        <v>0</v>
      </c>
      <c r="AB44" s="9">
        <f t="shared" si="18"/>
        <v>0</v>
      </c>
      <c r="AC44" s="9">
        <f t="shared" si="7"/>
        <v>0</v>
      </c>
      <c r="AD44" s="9">
        <f t="shared" si="8"/>
        <v>0</v>
      </c>
      <c r="AE44" s="9">
        <f t="shared" si="9"/>
        <v>0</v>
      </c>
      <c r="AF44" s="9">
        <f t="shared" si="15"/>
        <v>0</v>
      </c>
      <c r="AG44" s="9">
        <f t="shared" si="10"/>
        <v>0</v>
      </c>
      <c r="AH44" s="9">
        <f>IF(D44=$B$21,N44-J44,0)</f>
        <v>0</v>
      </c>
      <c r="AI44" s="9">
        <f>-IF(D44=$B$21,MAX(0,($B$11-G44))*MIN($B$2,$B$7)+MAX(0,N44-$B$11)*$B$4+MAX(0,N44-G44)*$B$3-IF($B$5="Yes",MAX(0,N44-G44)*$B$3*$B$2,0),0)</f>
        <v>0</v>
      </c>
      <c r="AJ44" s="10">
        <f t="shared" si="19"/>
        <v>0</v>
      </c>
      <c r="AL44" s="2">
        <f t="shared" si="20"/>
        <v>0</v>
      </c>
    </row>
    <row r="45" spans="1:38" x14ac:dyDescent="0.25">
      <c r="D45" s="16">
        <v>42</v>
      </c>
      <c r="E45" s="8">
        <f>IF(D45&gt;$B$21,0,$B$11*(1+$B$13)^D45)</f>
        <v>0</v>
      </c>
      <c r="F45" s="9">
        <f>IF(D45&gt;$B$21,0,G44-G45)</f>
        <v>0</v>
      </c>
      <c r="G45" s="9">
        <f t="shared" si="4"/>
        <v>0</v>
      </c>
      <c r="H45" s="9">
        <f>IF(D45&gt;$B$21,0,IF(D45&gt;$B$10,0,PMT($B$9,$B$10,$B$11*(1-$B$8))))</f>
        <v>0</v>
      </c>
      <c r="I45" s="9">
        <f>IF(D45&gt;$B$21,0,J44*$B$9)</f>
        <v>0</v>
      </c>
      <c r="J45" s="9">
        <f>IF(D45&gt;$B$21,0,J44+H45+I45)</f>
        <v>0</v>
      </c>
      <c r="K45" s="9">
        <f>-IF(D45&gt;$B$21,0,$B$16*(1+$B$17)^(D45-1)+$B$19*(1+$B$20)^(D45-1))</f>
        <v>0</v>
      </c>
      <c r="L45" s="9">
        <f>-IF(D45&gt;$B$21,0,IF(AND($B$18="yes",J45/E45&gt;0.8),$J$3/100000*55*12,0))</f>
        <v>0</v>
      </c>
      <c r="M45" s="9">
        <f t="shared" si="21"/>
        <v>0</v>
      </c>
      <c r="N45" s="10">
        <f>IF(D45=$B$21,E45*(1-$B$24),0)</f>
        <v>0</v>
      </c>
      <c r="O45" s="1"/>
      <c r="P45" s="8">
        <f t="shared" si="22"/>
        <v>0</v>
      </c>
      <c r="Q45" s="9">
        <f t="shared" si="16"/>
        <v>0</v>
      </c>
      <c r="R45" s="9">
        <f t="shared" si="11"/>
        <v>0</v>
      </c>
      <c r="S45" s="9">
        <f t="shared" si="17"/>
        <v>0</v>
      </c>
      <c r="T45" s="9">
        <f t="shared" si="6"/>
        <v>0</v>
      </c>
      <c r="U45" s="9">
        <f t="shared" si="12"/>
        <v>0</v>
      </c>
      <c r="V45" s="9">
        <f t="shared" si="13"/>
        <v>0</v>
      </c>
      <c r="W45" s="9">
        <f>IF(D45=$B$21,N45-J45,0)</f>
        <v>0</v>
      </c>
      <c r="X45" s="9">
        <f>-IF(D45=$B$21,IF($B$5="Yes",MAX(N45-$B$11-$B$22,0)*($B$4+$B$3-$B$3*$B$2),MAX(N45-$B$11-$B$22,0)*($B$4+$B$3)),0)</f>
        <v>0</v>
      </c>
      <c r="Y45" s="10">
        <f t="shared" si="14"/>
        <v>0</v>
      </c>
      <c r="AA45" s="8">
        <f t="shared" si="23"/>
        <v>0</v>
      </c>
      <c r="AB45" s="9">
        <f t="shared" si="18"/>
        <v>0</v>
      </c>
      <c r="AC45" s="9">
        <f t="shared" si="7"/>
        <v>0</v>
      </c>
      <c r="AD45" s="9">
        <f t="shared" si="8"/>
        <v>0</v>
      </c>
      <c r="AE45" s="9">
        <f t="shared" si="9"/>
        <v>0</v>
      </c>
      <c r="AF45" s="9">
        <f t="shared" si="15"/>
        <v>0</v>
      </c>
      <c r="AG45" s="9">
        <f t="shared" si="10"/>
        <v>0</v>
      </c>
      <c r="AH45" s="9">
        <f>IF(D45=$B$21,N45-J45,0)</f>
        <v>0</v>
      </c>
      <c r="AI45" s="9">
        <f>-IF(D45=$B$21,MAX(0,($B$11-G45))*MIN($B$2,$B$7)+MAX(0,N45-$B$11)*$B$4+MAX(0,N45-G45)*$B$3-IF($B$5="Yes",MAX(0,N45-G45)*$B$3*$B$2,0),0)</f>
        <v>0</v>
      </c>
      <c r="AJ45" s="10">
        <f t="shared" si="19"/>
        <v>0</v>
      </c>
      <c r="AL45" s="2">
        <f t="shared" si="20"/>
        <v>0</v>
      </c>
    </row>
    <row r="46" spans="1:38" x14ac:dyDescent="0.25">
      <c r="D46" s="16">
        <v>43</v>
      </c>
      <c r="E46" s="8">
        <f>IF(D46&gt;$B$21,0,$B$11*(1+$B$13)^D46)</f>
        <v>0</v>
      </c>
      <c r="F46" s="9">
        <f>IF(D46&gt;$B$21,0,G45-G46)</f>
        <v>0</v>
      </c>
      <c r="G46" s="9">
        <f t="shared" si="4"/>
        <v>0</v>
      </c>
      <c r="H46" s="9">
        <f>IF(D46&gt;$B$21,0,IF(D46&gt;$B$10,0,PMT($B$9,$B$10,$B$11*(1-$B$8))))</f>
        <v>0</v>
      </c>
      <c r="I46" s="9">
        <f>IF(D46&gt;$B$21,0,J45*$B$9)</f>
        <v>0</v>
      </c>
      <c r="J46" s="9">
        <f>IF(D46&gt;$B$21,0,J45+H46+I46)</f>
        <v>0</v>
      </c>
      <c r="K46" s="9">
        <f>-IF(D46&gt;$B$21,0,$B$16*(1+$B$17)^(D46-1)+$B$19*(1+$B$20)^(D46-1))</f>
        <v>0</v>
      </c>
      <c r="L46" s="9">
        <f>-IF(D46&gt;$B$21,0,IF(AND($B$18="yes",J46/E46&gt;0.8),$J$3/100000*55*12,0))</f>
        <v>0</v>
      </c>
      <c r="M46" s="9">
        <f t="shared" si="21"/>
        <v>0</v>
      </c>
      <c r="N46" s="10">
        <f>IF(D46=$B$21,E46*(1-$B$24),0)</f>
        <v>0</v>
      </c>
      <c r="O46" s="1"/>
      <c r="P46" s="8">
        <f t="shared" si="22"/>
        <v>0</v>
      </c>
      <c r="Q46" s="9">
        <f t="shared" si="16"/>
        <v>0</v>
      </c>
      <c r="R46" s="9">
        <f t="shared" si="11"/>
        <v>0</v>
      </c>
      <c r="S46" s="9">
        <f t="shared" si="17"/>
        <v>0</v>
      </c>
      <c r="T46" s="9">
        <f t="shared" si="6"/>
        <v>0</v>
      </c>
      <c r="U46" s="9">
        <f t="shared" si="12"/>
        <v>0</v>
      </c>
      <c r="V46" s="9">
        <f t="shared" si="13"/>
        <v>0</v>
      </c>
      <c r="W46" s="9">
        <f>IF(D46=$B$21,N46-J46,0)</f>
        <v>0</v>
      </c>
      <c r="X46" s="9">
        <f>-IF(D46=$B$21,IF($B$5="Yes",MAX(N46-$B$11-$B$22,0)*($B$4+$B$3-$B$3*$B$2),MAX(N46-$B$11-$B$22,0)*($B$4+$B$3)),0)</f>
        <v>0</v>
      </c>
      <c r="Y46" s="10">
        <f t="shared" si="14"/>
        <v>0</v>
      </c>
      <c r="AA46" s="8">
        <f t="shared" si="23"/>
        <v>0</v>
      </c>
      <c r="AB46" s="9">
        <f t="shared" si="18"/>
        <v>0</v>
      </c>
      <c r="AC46" s="9">
        <f t="shared" si="7"/>
        <v>0</v>
      </c>
      <c r="AD46" s="9">
        <f t="shared" si="8"/>
        <v>0</v>
      </c>
      <c r="AE46" s="9">
        <f t="shared" si="9"/>
        <v>0</v>
      </c>
      <c r="AF46" s="9">
        <f t="shared" si="15"/>
        <v>0</v>
      </c>
      <c r="AG46" s="9">
        <f t="shared" si="10"/>
        <v>0</v>
      </c>
      <c r="AH46" s="9">
        <f>IF(D46=$B$21,N46-J46,0)</f>
        <v>0</v>
      </c>
      <c r="AI46" s="9">
        <f>-IF(D46=$B$21,MAX(0,($B$11-G46))*MIN($B$2,$B$7)+MAX(0,N46-$B$11)*$B$4+MAX(0,N46-G46)*$B$3-IF($B$5="Yes",MAX(0,N46-G46)*$B$3*$B$2,0),0)</f>
        <v>0</v>
      </c>
      <c r="AJ46" s="10">
        <f t="shared" si="19"/>
        <v>0</v>
      </c>
      <c r="AL46" s="2">
        <f t="shared" si="20"/>
        <v>0</v>
      </c>
    </row>
    <row r="47" spans="1:38" x14ac:dyDescent="0.25">
      <c r="D47" s="16">
        <v>44</v>
      </c>
      <c r="E47" s="8">
        <f>IF(D47&gt;$B$21,0,$B$11*(1+$B$13)^D47)</f>
        <v>0</v>
      </c>
      <c r="F47" s="9">
        <f>IF(D47&gt;$B$21,0,G46-G47)</f>
        <v>0</v>
      </c>
      <c r="G47" s="9">
        <f t="shared" si="4"/>
        <v>0</v>
      </c>
      <c r="H47" s="9">
        <f>IF(D47&gt;$B$21,0,IF(D47&gt;$B$10,0,PMT($B$9,$B$10,$B$11*(1-$B$8))))</f>
        <v>0</v>
      </c>
      <c r="I47" s="9">
        <f>IF(D47&gt;$B$21,0,J46*$B$9)</f>
        <v>0</v>
      </c>
      <c r="J47" s="9">
        <f>IF(D47&gt;$B$21,0,J46+H47+I47)</f>
        <v>0</v>
      </c>
      <c r="K47" s="9">
        <f>-IF(D47&gt;$B$21,0,$B$16*(1+$B$17)^(D47-1)+$B$19*(1+$B$20)^(D47-1))</f>
        <v>0</v>
      </c>
      <c r="L47" s="9">
        <f>-IF(D47&gt;$B$21,0,IF(AND($B$18="yes",J47/E47&gt;0.8),$J$3/100000*55*12,0))</f>
        <v>0</v>
      </c>
      <c r="M47" s="9">
        <f t="shared" si="21"/>
        <v>0</v>
      </c>
      <c r="N47" s="10">
        <f>IF(D47=$B$21,E47*(1-$B$24),0)</f>
        <v>0</v>
      </c>
      <c r="O47" s="1"/>
      <c r="P47" s="8">
        <f t="shared" si="22"/>
        <v>0</v>
      </c>
      <c r="Q47" s="9">
        <f t="shared" si="16"/>
        <v>0</v>
      </c>
      <c r="R47" s="9">
        <f t="shared" si="11"/>
        <v>0</v>
      </c>
      <c r="S47" s="9">
        <f t="shared" si="17"/>
        <v>0</v>
      </c>
      <c r="T47" s="9">
        <f t="shared" si="6"/>
        <v>0</v>
      </c>
      <c r="U47" s="9">
        <f t="shared" si="12"/>
        <v>0</v>
      </c>
      <c r="V47" s="9">
        <f t="shared" si="13"/>
        <v>0</v>
      </c>
      <c r="W47" s="9">
        <f>IF(D47=$B$21,N47-J47,0)</f>
        <v>0</v>
      </c>
      <c r="X47" s="9">
        <f>-IF(D47=$B$21,IF($B$5="Yes",MAX(N47-$B$11-$B$22,0)*($B$4+$B$3-$B$3*$B$2),MAX(N47-$B$11-$B$22,0)*($B$4+$B$3)),0)</f>
        <v>0</v>
      </c>
      <c r="Y47" s="10">
        <f t="shared" si="14"/>
        <v>0</v>
      </c>
      <c r="AA47" s="8">
        <f t="shared" si="23"/>
        <v>0</v>
      </c>
      <c r="AB47" s="9">
        <f t="shared" si="18"/>
        <v>0</v>
      </c>
      <c r="AC47" s="9">
        <f t="shared" si="7"/>
        <v>0</v>
      </c>
      <c r="AD47" s="9">
        <f t="shared" si="8"/>
        <v>0</v>
      </c>
      <c r="AE47" s="9">
        <f t="shared" si="9"/>
        <v>0</v>
      </c>
      <c r="AF47" s="9">
        <f t="shared" si="15"/>
        <v>0</v>
      </c>
      <c r="AG47" s="9">
        <f t="shared" si="10"/>
        <v>0</v>
      </c>
      <c r="AH47" s="9">
        <f>IF(D47=$B$21,N47-J47,0)</f>
        <v>0</v>
      </c>
      <c r="AI47" s="9">
        <f>-IF(D47=$B$21,MAX(0,($B$11-G47))*MIN($B$2,$B$7)+MAX(0,N47-$B$11)*$B$4+MAX(0,N47-G47)*$B$3-IF($B$5="Yes",MAX(0,N47-G47)*$B$3*$B$2,0),0)</f>
        <v>0</v>
      </c>
      <c r="AJ47" s="10">
        <f t="shared" si="19"/>
        <v>0</v>
      </c>
      <c r="AL47" s="2">
        <f t="shared" si="20"/>
        <v>0</v>
      </c>
    </row>
    <row r="48" spans="1:38" x14ac:dyDescent="0.25">
      <c r="D48" s="16">
        <v>45</v>
      </c>
      <c r="E48" s="8">
        <f>IF(D48&gt;$B$21,0,$B$11*(1+$B$13)^D48)</f>
        <v>0</v>
      </c>
      <c r="F48" s="9">
        <f>IF(D48&gt;$B$21,0,G47-G48)</f>
        <v>0</v>
      </c>
      <c r="G48" s="9">
        <f t="shared" si="4"/>
        <v>0</v>
      </c>
      <c r="H48" s="9">
        <f>IF(D48&gt;$B$21,0,IF(D48&gt;$B$10,0,PMT($B$9,$B$10,$B$11*(1-$B$8))))</f>
        <v>0</v>
      </c>
      <c r="I48" s="9">
        <f>IF(D48&gt;$B$21,0,J47*$B$9)</f>
        <v>0</v>
      </c>
      <c r="J48" s="9">
        <f>IF(D48&gt;$B$21,0,J47+H48+I48)</f>
        <v>0</v>
      </c>
      <c r="K48" s="9">
        <f>-IF(D48&gt;$B$21,0,$B$16*(1+$B$17)^(D48-1)+$B$19*(1+$B$20)^(D48-1))</f>
        <v>0</v>
      </c>
      <c r="L48" s="9">
        <f>-IF(D48&gt;$B$21,0,IF(AND($B$18="yes",J48/E48&gt;0.8),$J$3/100000*55*12,0))</f>
        <v>0</v>
      </c>
      <c r="M48" s="9">
        <f t="shared" si="21"/>
        <v>0</v>
      </c>
      <c r="N48" s="10">
        <f>IF(D48=$B$21,E48*(1-$B$24),0)</f>
        <v>0</v>
      </c>
      <c r="O48" s="1"/>
      <c r="P48" s="8">
        <f t="shared" si="22"/>
        <v>0</v>
      </c>
      <c r="Q48" s="9">
        <f t="shared" si="16"/>
        <v>0</v>
      </c>
      <c r="R48" s="9">
        <f t="shared" si="11"/>
        <v>0</v>
      </c>
      <c r="S48" s="9">
        <f t="shared" si="17"/>
        <v>0</v>
      </c>
      <c r="T48" s="9">
        <f t="shared" si="6"/>
        <v>0</v>
      </c>
      <c r="U48" s="9">
        <f t="shared" si="12"/>
        <v>0</v>
      </c>
      <c r="V48" s="9">
        <f t="shared" si="13"/>
        <v>0</v>
      </c>
      <c r="W48" s="9">
        <f>IF(D48=$B$21,N48-J48,0)</f>
        <v>0</v>
      </c>
      <c r="X48" s="9">
        <f>-IF(D48=$B$21,IF($B$5="Yes",MAX(N48-$B$11-$B$22,0)*($B$4+$B$3-$B$3*$B$2),MAX(N48-$B$11-$B$22,0)*($B$4+$B$3)),0)</f>
        <v>0</v>
      </c>
      <c r="Y48" s="10">
        <f t="shared" si="14"/>
        <v>0</v>
      </c>
      <c r="AA48" s="8">
        <f t="shared" si="23"/>
        <v>0</v>
      </c>
      <c r="AB48" s="9">
        <f t="shared" si="18"/>
        <v>0</v>
      </c>
      <c r="AC48" s="9">
        <f t="shared" si="7"/>
        <v>0</v>
      </c>
      <c r="AD48" s="9">
        <f t="shared" si="8"/>
        <v>0</v>
      </c>
      <c r="AE48" s="9">
        <f t="shared" si="9"/>
        <v>0</v>
      </c>
      <c r="AF48" s="9">
        <f t="shared" si="15"/>
        <v>0</v>
      </c>
      <c r="AG48" s="9">
        <f t="shared" si="10"/>
        <v>0</v>
      </c>
      <c r="AH48" s="9">
        <f>IF(D48=$B$21,N48-J48,0)</f>
        <v>0</v>
      </c>
      <c r="AI48" s="9">
        <f>-IF(D48=$B$21,MAX(0,($B$11-G48))*MIN($B$2,$B$7)+MAX(0,N48-$B$11)*$B$4+MAX(0,N48-G48)*$B$3-IF($B$5="Yes",MAX(0,N48-G48)*$B$3*$B$2,0),0)</f>
        <v>0</v>
      </c>
      <c r="AJ48" s="10">
        <f t="shared" si="19"/>
        <v>0</v>
      </c>
      <c r="AL48" s="2">
        <f t="shared" si="20"/>
        <v>0</v>
      </c>
    </row>
    <row r="49" spans="4:38" x14ac:dyDescent="0.25">
      <c r="D49" s="16">
        <v>46</v>
      </c>
      <c r="E49" s="8">
        <f>IF(D49&gt;$B$21,0,$B$11*(1+$B$13)^D49)</f>
        <v>0</v>
      </c>
      <c r="F49" s="9">
        <f>IF(D49&gt;$B$21,0,G48-G49)</f>
        <v>0</v>
      </c>
      <c r="G49" s="9">
        <f t="shared" si="4"/>
        <v>0</v>
      </c>
      <c r="H49" s="9">
        <f>IF(D49&gt;$B$21,0,IF(D49&gt;$B$10,0,PMT($B$9,$B$10,$B$11*(1-$B$8))))</f>
        <v>0</v>
      </c>
      <c r="I49" s="9">
        <f>IF(D49&gt;$B$21,0,J48*$B$9)</f>
        <v>0</v>
      </c>
      <c r="J49" s="9">
        <f>IF(D49&gt;$B$21,0,J48+H49+I49)</f>
        <v>0</v>
      </c>
      <c r="K49" s="9">
        <f>-IF(D49&gt;$B$21,0,$B$16*(1+$B$17)^(D49-1)+$B$19*(1+$B$20)^(D49-1))</f>
        <v>0</v>
      </c>
      <c r="L49" s="9">
        <f>-IF(D49&gt;$B$21,0,IF(AND($B$18="yes",J49/E49&gt;0.8),$J$3/100000*55*12,0))</f>
        <v>0</v>
      </c>
      <c r="M49" s="9">
        <f t="shared" si="21"/>
        <v>0</v>
      </c>
      <c r="N49" s="10">
        <f>IF(D49=$B$21,E49*(1-$B$24),0)</f>
        <v>0</v>
      </c>
      <c r="O49" s="1"/>
      <c r="P49" s="8">
        <f t="shared" si="22"/>
        <v>0</v>
      </c>
      <c r="Q49" s="9">
        <f t="shared" si="16"/>
        <v>0</v>
      </c>
      <c r="R49" s="9">
        <f t="shared" si="11"/>
        <v>0</v>
      </c>
      <c r="S49" s="9">
        <f t="shared" si="17"/>
        <v>0</v>
      </c>
      <c r="T49" s="9">
        <f t="shared" si="6"/>
        <v>0</v>
      </c>
      <c r="U49" s="9">
        <f t="shared" si="12"/>
        <v>0</v>
      </c>
      <c r="V49" s="9">
        <f t="shared" si="13"/>
        <v>0</v>
      </c>
      <c r="W49" s="9">
        <f>IF(D49=$B$21,N49-J49,0)</f>
        <v>0</v>
      </c>
      <c r="X49" s="9">
        <f>-IF(D49=$B$21,IF($B$5="Yes",MAX(N49-$B$11-$B$22,0)*($B$4+$B$3-$B$3*$B$2),MAX(N49-$B$11-$B$22,0)*($B$4+$B$3)),0)</f>
        <v>0</v>
      </c>
      <c r="Y49" s="10">
        <f t="shared" si="14"/>
        <v>0</v>
      </c>
      <c r="AA49" s="8">
        <f t="shared" si="23"/>
        <v>0</v>
      </c>
      <c r="AB49" s="9">
        <f t="shared" si="18"/>
        <v>0</v>
      </c>
      <c r="AC49" s="9">
        <f t="shared" si="7"/>
        <v>0</v>
      </c>
      <c r="AD49" s="9">
        <f t="shared" si="8"/>
        <v>0</v>
      </c>
      <c r="AE49" s="9">
        <f t="shared" si="9"/>
        <v>0</v>
      </c>
      <c r="AF49" s="9">
        <f t="shared" si="15"/>
        <v>0</v>
      </c>
      <c r="AG49" s="9">
        <f t="shared" si="10"/>
        <v>0</v>
      </c>
      <c r="AH49" s="9">
        <f>IF(D49=$B$21,N49-J49,0)</f>
        <v>0</v>
      </c>
      <c r="AI49" s="9">
        <f>-IF(D49=$B$21,MAX(0,($B$11-G49))*MIN($B$2,$B$7)+MAX(0,N49-$B$11)*$B$4+MAX(0,N49-G49)*$B$3-IF($B$5="Yes",MAX(0,N49-G49)*$B$3*$B$2,0),0)</f>
        <v>0</v>
      </c>
      <c r="AJ49" s="10">
        <f t="shared" si="19"/>
        <v>0</v>
      </c>
      <c r="AL49" s="2">
        <f t="shared" si="20"/>
        <v>0</v>
      </c>
    </row>
    <row r="50" spans="4:38" x14ac:dyDescent="0.25">
      <c r="D50" s="16">
        <v>47</v>
      </c>
      <c r="E50" s="8">
        <f>IF(D50&gt;$B$21,0,$B$11*(1+$B$13)^D50)</f>
        <v>0</v>
      </c>
      <c r="F50" s="9">
        <f>IF(D50&gt;$B$21,0,G49-G50)</f>
        <v>0</v>
      </c>
      <c r="G50" s="9">
        <f t="shared" si="4"/>
        <v>0</v>
      </c>
      <c r="H50" s="9">
        <f>IF(D50&gt;$B$21,0,IF(D50&gt;$B$10,0,PMT($B$9,$B$10,$B$11*(1-$B$8))))</f>
        <v>0</v>
      </c>
      <c r="I50" s="9">
        <f>IF(D50&gt;$B$21,0,J49*$B$9)</f>
        <v>0</v>
      </c>
      <c r="J50" s="9">
        <f>IF(D50&gt;$B$21,0,J49+H50+I50)</f>
        <v>0</v>
      </c>
      <c r="K50" s="9">
        <f>-IF(D50&gt;$B$21,0,$B$16*(1+$B$17)^(D50-1)+$B$19*(1+$B$20)^(D50-1))</f>
        <v>0</v>
      </c>
      <c r="L50" s="9">
        <f>-IF(D50&gt;$B$21,0,IF(AND($B$18="yes",J50/E50&gt;0.8),$J$3/100000*55*12,0))</f>
        <v>0</v>
      </c>
      <c r="M50" s="9">
        <f t="shared" si="21"/>
        <v>0</v>
      </c>
      <c r="N50" s="10">
        <f>IF(D50=$B$21,E50*(1-$B$24),0)</f>
        <v>0</v>
      </c>
      <c r="O50" s="1"/>
      <c r="P50" s="8">
        <f t="shared" si="22"/>
        <v>0</v>
      </c>
      <c r="Q50" s="9">
        <f t="shared" si="16"/>
        <v>0</v>
      </c>
      <c r="R50" s="9">
        <f t="shared" si="11"/>
        <v>0</v>
      </c>
      <c r="S50" s="9">
        <f t="shared" si="17"/>
        <v>0</v>
      </c>
      <c r="T50" s="9">
        <f t="shared" si="6"/>
        <v>0</v>
      </c>
      <c r="U50" s="9">
        <f t="shared" si="12"/>
        <v>0</v>
      </c>
      <c r="V50" s="9">
        <f t="shared" si="13"/>
        <v>0</v>
      </c>
      <c r="W50" s="9">
        <f>IF(D50=$B$21,N50-J50,0)</f>
        <v>0</v>
      </c>
      <c r="X50" s="9">
        <f>-IF(D50=$B$21,IF($B$5="Yes",MAX(N50-$B$11-$B$22,0)*($B$4+$B$3-$B$3*$B$2),MAX(N50-$B$11-$B$22,0)*($B$4+$B$3)),0)</f>
        <v>0</v>
      </c>
      <c r="Y50" s="10">
        <f t="shared" si="14"/>
        <v>0</v>
      </c>
      <c r="AA50" s="8">
        <f t="shared" si="23"/>
        <v>0</v>
      </c>
      <c r="AB50" s="9">
        <f t="shared" si="18"/>
        <v>0</v>
      </c>
      <c r="AC50" s="9">
        <f t="shared" si="7"/>
        <v>0</v>
      </c>
      <c r="AD50" s="9">
        <f t="shared" si="8"/>
        <v>0</v>
      </c>
      <c r="AE50" s="9">
        <f t="shared" si="9"/>
        <v>0</v>
      </c>
      <c r="AF50" s="9">
        <f t="shared" si="15"/>
        <v>0</v>
      </c>
      <c r="AG50" s="9">
        <f t="shared" si="10"/>
        <v>0</v>
      </c>
      <c r="AH50" s="9">
        <f>IF(D50=$B$21,N50-J50,0)</f>
        <v>0</v>
      </c>
      <c r="AI50" s="9">
        <f>-IF(D50=$B$21,MAX(0,($B$11-G50))*MIN($B$2,$B$7)+MAX(0,N50-$B$11)*$B$4+MAX(0,N50-G50)*$B$3-IF($B$5="Yes",MAX(0,N50-G50)*$B$3*$B$2,0),0)</f>
        <v>0</v>
      </c>
      <c r="AJ50" s="10">
        <f t="shared" si="19"/>
        <v>0</v>
      </c>
      <c r="AL50" s="2">
        <f t="shared" si="20"/>
        <v>0</v>
      </c>
    </row>
    <row r="51" spans="4:38" x14ac:dyDescent="0.25">
      <c r="D51" s="16">
        <v>48</v>
      </c>
      <c r="E51" s="8">
        <f>IF(D51&gt;$B$21,0,$B$11*(1+$B$13)^D51)</f>
        <v>0</v>
      </c>
      <c r="F51" s="9">
        <f>IF(D51&gt;$B$21,0,G50-G51)</f>
        <v>0</v>
      </c>
      <c r="G51" s="9">
        <f t="shared" si="4"/>
        <v>0</v>
      </c>
      <c r="H51" s="9">
        <f>IF(D51&gt;$B$21,0,IF(D51&gt;$B$10,0,PMT($B$9,$B$10,$B$11*(1-$B$8))))</f>
        <v>0</v>
      </c>
      <c r="I51" s="9">
        <f>IF(D51&gt;$B$21,0,J50*$B$9)</f>
        <v>0</v>
      </c>
      <c r="J51" s="9">
        <f>IF(D51&gt;$B$21,0,J50+H51+I51)</f>
        <v>0</v>
      </c>
      <c r="K51" s="9">
        <f>-IF(D51&gt;$B$21,0,$B$16*(1+$B$17)^(D51-1)+$B$19*(1+$B$20)^(D51-1))</f>
        <v>0</v>
      </c>
      <c r="L51" s="9">
        <f>-IF(D51&gt;$B$21,0,IF(AND($B$18="yes",J51/E51&gt;0.8),$J$3/100000*55*12,0))</f>
        <v>0</v>
      </c>
      <c r="M51" s="9">
        <f t="shared" si="21"/>
        <v>0</v>
      </c>
      <c r="N51" s="10">
        <f>IF(D51=$B$21,E51*(1-$B$24),0)</f>
        <v>0</v>
      </c>
      <c r="O51" s="1"/>
      <c r="P51" s="8">
        <f t="shared" si="22"/>
        <v>0</v>
      </c>
      <c r="Q51" s="9">
        <f t="shared" si="16"/>
        <v>0</v>
      </c>
      <c r="R51" s="9">
        <f t="shared" si="11"/>
        <v>0</v>
      </c>
      <c r="S51" s="9">
        <f t="shared" si="17"/>
        <v>0</v>
      </c>
      <c r="T51" s="9">
        <f t="shared" si="6"/>
        <v>0</v>
      </c>
      <c r="U51" s="9">
        <f t="shared" si="12"/>
        <v>0</v>
      </c>
      <c r="V51" s="9">
        <f t="shared" si="13"/>
        <v>0</v>
      </c>
      <c r="W51" s="9">
        <f>IF(D51=$B$21,N51-J51,0)</f>
        <v>0</v>
      </c>
      <c r="X51" s="9">
        <f>-IF(D51=$B$21,IF($B$5="Yes",MAX(N51-$B$11-$B$22,0)*($B$4+$B$3-$B$3*$B$2),MAX(N51-$B$11-$B$22,0)*($B$4+$B$3)),0)</f>
        <v>0</v>
      </c>
      <c r="Y51" s="10">
        <f t="shared" si="14"/>
        <v>0</v>
      </c>
      <c r="AA51" s="8">
        <f t="shared" si="23"/>
        <v>0</v>
      </c>
      <c r="AB51" s="9">
        <f t="shared" si="18"/>
        <v>0</v>
      </c>
      <c r="AC51" s="9">
        <f t="shared" si="7"/>
        <v>0</v>
      </c>
      <c r="AD51" s="9">
        <f t="shared" si="8"/>
        <v>0</v>
      </c>
      <c r="AE51" s="9">
        <f t="shared" si="9"/>
        <v>0</v>
      </c>
      <c r="AF51" s="9">
        <f t="shared" si="15"/>
        <v>0</v>
      </c>
      <c r="AG51" s="9">
        <f t="shared" si="10"/>
        <v>0</v>
      </c>
      <c r="AH51" s="9">
        <f>IF(D51=$B$21,N51-J51,0)</f>
        <v>0</v>
      </c>
      <c r="AI51" s="9">
        <f>-IF(D51=$B$21,MAX(0,($B$11-G51))*MIN($B$2,$B$7)+MAX(0,N51-$B$11)*$B$4+MAX(0,N51-G51)*$B$3-IF($B$5="Yes",MAX(0,N51-G51)*$B$3*$B$2,0),0)</f>
        <v>0</v>
      </c>
      <c r="AJ51" s="10">
        <f t="shared" si="19"/>
        <v>0</v>
      </c>
      <c r="AL51" s="2">
        <f t="shared" si="20"/>
        <v>0</v>
      </c>
    </row>
    <row r="52" spans="4:38" x14ac:dyDescent="0.25">
      <c r="D52" s="16">
        <v>49</v>
      </c>
      <c r="E52" s="8">
        <f>IF(D52&gt;$B$21,0,$B$11*(1+$B$13)^D52)</f>
        <v>0</v>
      </c>
      <c r="F52" s="9">
        <f>IF(D52&gt;$B$21,0,G51-G52)</f>
        <v>0</v>
      </c>
      <c r="G52" s="9">
        <f t="shared" si="4"/>
        <v>0</v>
      </c>
      <c r="H52" s="9">
        <f>IF(D52&gt;$B$21,0,IF(D52&gt;$B$10,0,PMT($B$9,$B$10,$B$11*(1-$B$8))))</f>
        <v>0</v>
      </c>
      <c r="I52" s="9">
        <f>IF(D52&gt;$B$21,0,J51*$B$9)</f>
        <v>0</v>
      </c>
      <c r="J52" s="9">
        <f>IF(D52&gt;$B$21,0,J51+H52+I52)</f>
        <v>0</v>
      </c>
      <c r="K52" s="9">
        <f>-IF(D52&gt;$B$21,0,$B$16*(1+$B$17)^(D52-1)+$B$19*(1+$B$20)^(D52-1))</f>
        <v>0</v>
      </c>
      <c r="L52" s="9">
        <f>-IF(D52&gt;$B$21,0,IF(AND($B$18="yes",J52/E52&gt;0.8),$J$3/100000*55*12,0))</f>
        <v>0</v>
      </c>
      <c r="M52" s="9">
        <f t="shared" si="21"/>
        <v>0</v>
      </c>
      <c r="N52" s="10">
        <f>IF(D52=$B$21,E52*(1-$B$24),0)</f>
        <v>0</v>
      </c>
      <c r="O52" s="1"/>
      <c r="P52" s="8">
        <f t="shared" si="22"/>
        <v>0</v>
      </c>
      <c r="Q52" s="9">
        <f t="shared" si="16"/>
        <v>0</v>
      </c>
      <c r="R52" s="9">
        <f t="shared" si="11"/>
        <v>0</v>
      </c>
      <c r="S52" s="9">
        <f t="shared" si="17"/>
        <v>0</v>
      </c>
      <c r="T52" s="9">
        <f t="shared" si="6"/>
        <v>0</v>
      </c>
      <c r="U52" s="9">
        <f t="shared" si="12"/>
        <v>0</v>
      </c>
      <c r="V52" s="9">
        <f t="shared" si="13"/>
        <v>0</v>
      </c>
      <c r="W52" s="9">
        <f>IF(D52=$B$21,N52-J52,0)</f>
        <v>0</v>
      </c>
      <c r="X52" s="9">
        <f>-IF(D52=$B$21,IF($B$5="Yes",MAX(N52-$B$11-$B$22,0)*($B$4+$B$3-$B$3*$B$2),MAX(N52-$B$11-$B$22,0)*($B$4+$B$3)),0)</f>
        <v>0</v>
      </c>
      <c r="Y52" s="10">
        <f t="shared" si="14"/>
        <v>0</v>
      </c>
      <c r="AA52" s="8">
        <f t="shared" si="23"/>
        <v>0</v>
      </c>
      <c r="AB52" s="9">
        <f t="shared" si="18"/>
        <v>0</v>
      </c>
      <c r="AC52" s="9">
        <f t="shared" si="7"/>
        <v>0</v>
      </c>
      <c r="AD52" s="9">
        <f t="shared" si="8"/>
        <v>0</v>
      </c>
      <c r="AE52" s="9">
        <f t="shared" si="9"/>
        <v>0</v>
      </c>
      <c r="AF52" s="9">
        <f t="shared" si="15"/>
        <v>0</v>
      </c>
      <c r="AG52" s="9">
        <f t="shared" si="10"/>
        <v>0</v>
      </c>
      <c r="AH52" s="9">
        <f>IF(D52=$B$21,N52-J52,0)</f>
        <v>0</v>
      </c>
      <c r="AI52" s="9">
        <f>-IF(D52=$B$21,MAX(0,($B$11-G52))*MIN($B$2,$B$7)+MAX(0,N52-$B$11)*$B$4+MAX(0,N52-G52)*$B$3-IF($B$5="Yes",MAX(0,N52-G52)*$B$3*$B$2,0),0)</f>
        <v>0</v>
      </c>
      <c r="AJ52" s="10">
        <f t="shared" si="19"/>
        <v>0</v>
      </c>
      <c r="AL52" s="2">
        <f t="shared" si="20"/>
        <v>0</v>
      </c>
    </row>
    <row r="53" spans="4:38" x14ac:dyDescent="0.25">
      <c r="D53" s="17">
        <v>50</v>
      </c>
      <c r="E53" s="11">
        <f>IF(D53&gt;$B$21,0,$B$11*(1+$B$13)^D53)</f>
        <v>0</v>
      </c>
      <c r="F53" s="12">
        <f>IF(D53&gt;$B$21,0,G52-G53)</f>
        <v>0</v>
      </c>
      <c r="G53" s="12">
        <f t="shared" si="4"/>
        <v>0</v>
      </c>
      <c r="H53" s="12">
        <f>IF(D53&gt;$B$21,0,IF(D53&gt;$B$10,0,PMT($B$9,$B$10,$B$11*(1-$B$8))))</f>
        <v>0</v>
      </c>
      <c r="I53" s="12">
        <f>IF(D53&gt;$B$21,0,J52*$B$9)</f>
        <v>0</v>
      </c>
      <c r="J53" s="12">
        <f>IF(D53&gt;$B$21,0,J52+H53+I53)</f>
        <v>0</v>
      </c>
      <c r="K53" s="12">
        <f>-IF(D53&gt;$B$21,0,$B$16*(1+$B$17)^(D53-1)+$B$19*(1+$B$20)^(D53-1))</f>
        <v>0</v>
      </c>
      <c r="L53" s="12">
        <f>-IF(D53&gt;$B$21,0,IF(AND($B$18="yes",J53/E53&gt;0.8),$J$3/100000*55*12,0))</f>
        <v>0</v>
      </c>
      <c r="M53" s="12">
        <f t="shared" si="21"/>
        <v>0</v>
      </c>
      <c r="N53" s="13">
        <f>IF(D53=$B$21,E53*(1-$B$24),0)</f>
        <v>0</v>
      </c>
      <c r="O53" s="1"/>
      <c r="P53" s="11">
        <f t="shared" si="22"/>
        <v>0</v>
      </c>
      <c r="Q53" s="12">
        <f t="shared" si="16"/>
        <v>0</v>
      </c>
      <c r="R53" s="12">
        <f t="shared" si="11"/>
        <v>0</v>
      </c>
      <c r="S53" s="12">
        <f t="shared" si="17"/>
        <v>0</v>
      </c>
      <c r="T53" s="12">
        <f t="shared" si="6"/>
        <v>0</v>
      </c>
      <c r="U53" s="12">
        <f t="shared" si="12"/>
        <v>0</v>
      </c>
      <c r="V53" s="12">
        <f>IF($B$5="Yes",(I53-M53)*($B$2+$B$3-$B$2*$B$3),0)</f>
        <v>0</v>
      </c>
      <c r="W53" s="12">
        <f>IF(D53=$B$21,N53-J53,0)</f>
        <v>0</v>
      </c>
      <c r="X53" s="12">
        <f>-IF(D53=$B$21,IF($B$5="Yes",MAX(N53-$B$11-$B$22,0)*($B$4+$B$3-$B$3*$B$2),MAX(N53-$B$11-$B$22,0)*($B$4+$B$3)),0)</f>
        <v>0</v>
      </c>
      <c r="Y53" s="13">
        <f t="shared" si="14"/>
        <v>0</v>
      </c>
      <c r="AA53" s="11">
        <f t="shared" si="23"/>
        <v>0</v>
      </c>
      <c r="AB53" s="12">
        <f t="shared" si="18"/>
        <v>0</v>
      </c>
      <c r="AC53" s="12">
        <f t="shared" si="7"/>
        <v>0</v>
      </c>
      <c r="AD53" s="12">
        <f t="shared" si="8"/>
        <v>0</v>
      </c>
      <c r="AE53" s="12">
        <f t="shared" si="9"/>
        <v>0</v>
      </c>
      <c r="AF53" s="12">
        <f t="shared" si="15"/>
        <v>0</v>
      </c>
      <c r="AG53" s="12">
        <f t="shared" si="10"/>
        <v>0</v>
      </c>
      <c r="AH53" s="12">
        <f>IF(D53=$B$21,N53-J53,0)</f>
        <v>0</v>
      </c>
      <c r="AI53" s="12">
        <f>-IF(D53=$B$21,MAX(0,($B$11-G53))*MIN($B$2,$B$7)+MAX(0,N53-$B$11)*$B$4+MAX(0,N53-G53)*$B$3-IF($B$5="Yes",MAX(0,N53-G53)*$B$3*$B$2,0),0)</f>
        <v>0</v>
      </c>
      <c r="AJ53" s="13">
        <f t="shared" si="19"/>
        <v>0</v>
      </c>
      <c r="AL53" s="2">
        <f t="shared" si="20"/>
        <v>0</v>
      </c>
    </row>
    <row r="54" spans="4:38" x14ac:dyDescent="0.25">
      <c r="T54" s="9"/>
      <c r="U54" s="2"/>
      <c r="V54" s="2"/>
    </row>
    <row r="55" spans="4:38" x14ac:dyDescent="0.25">
      <c r="T55" s="2"/>
      <c r="U55" s="2"/>
      <c r="V55" s="2"/>
    </row>
  </sheetData>
  <mergeCells count="7">
    <mergeCell ref="AA1:AJ1"/>
    <mergeCell ref="E1:N1"/>
    <mergeCell ref="A33:B33"/>
    <mergeCell ref="A29:B29"/>
    <mergeCell ref="A32:B32"/>
    <mergeCell ref="A30:B31"/>
    <mergeCell ref="P1:Y1"/>
  </mergeCells>
  <dataValidations count="1">
    <dataValidation type="list" allowBlank="1" showInputMessage="1" showErrorMessage="1" sqref="B5 B18">
      <formula1>"Yes, No"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E. Hultstrom</dc:creator>
  <cp:lastModifiedBy>David E. Hultstrom</cp:lastModifiedBy>
  <dcterms:created xsi:type="dcterms:W3CDTF">2012-02-28T22:52:09Z</dcterms:created>
  <dcterms:modified xsi:type="dcterms:W3CDTF">2012-04-18T21:55:37Z</dcterms:modified>
</cp:coreProperties>
</file>